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Treasury\Yaroshenko\"/>
    </mc:Choice>
  </mc:AlternateContent>
  <bookViews>
    <workbookView xWindow="0" yWindow="0" windowWidth="28800" windowHeight="12210"/>
  </bookViews>
  <sheets>
    <sheet name="Кредит_класична схем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2" l="1"/>
  <c r="I43" i="2"/>
  <c r="K43" i="2"/>
  <c r="L43" i="2"/>
  <c r="M43" i="2"/>
  <c r="N43" i="2"/>
  <c r="O43" i="2"/>
  <c r="Q43" i="2"/>
  <c r="D1" i="2"/>
  <c r="D6" i="2"/>
  <c r="A20" i="2" l="1"/>
  <c r="D4" i="2"/>
  <c r="D19" i="2" l="1"/>
  <c r="J18" i="2"/>
  <c r="J43" i="2" s="1"/>
  <c r="B18" i="2"/>
  <c r="F1" i="2"/>
  <c r="H19" i="2"/>
  <c r="H20" i="2"/>
  <c r="A21" i="2"/>
  <c r="E18" i="2" l="1"/>
  <c r="B19" i="2"/>
  <c r="A22" i="2"/>
  <c r="H21" i="2"/>
  <c r="C19" i="2" l="1"/>
  <c r="G19" i="2" s="1"/>
  <c r="B20" i="2"/>
  <c r="F19" i="2"/>
  <c r="A23" i="2"/>
  <c r="H22" i="2"/>
  <c r="E19" i="2" l="1"/>
  <c r="D20" i="2"/>
  <c r="C20" i="2"/>
  <c r="F20" i="2"/>
  <c r="B21" i="2"/>
  <c r="C21" i="2" s="1"/>
  <c r="A24" i="2"/>
  <c r="H23" i="2"/>
  <c r="D21" i="2" l="1"/>
  <c r="B22" i="2"/>
  <c r="C22" i="2" s="1"/>
  <c r="F21" i="2"/>
  <c r="A25" i="2"/>
  <c r="H24" i="2"/>
  <c r="D22" i="2" l="1"/>
  <c r="B23" i="2"/>
  <c r="C23" i="2" s="1"/>
  <c r="F22" i="2"/>
  <c r="A26" i="2"/>
  <c r="H25" i="2"/>
  <c r="D23" i="2" l="1"/>
  <c r="B24" i="2"/>
  <c r="C24" i="2" s="1"/>
  <c r="F23" i="2"/>
  <c r="A27" i="2"/>
  <c r="H26" i="2"/>
  <c r="D24" i="2" l="1"/>
  <c r="B25" i="2"/>
  <c r="C25" i="2" s="1"/>
  <c r="F24" i="2"/>
  <c r="A28" i="2"/>
  <c r="H27" i="2"/>
  <c r="D25" i="2" l="1"/>
  <c r="B26" i="2"/>
  <c r="C26" i="2" s="1"/>
  <c r="F25" i="2"/>
  <c r="A29" i="2"/>
  <c r="H28" i="2"/>
  <c r="D26" i="2" l="1"/>
  <c r="B27" i="2"/>
  <c r="C27" i="2" s="1"/>
  <c r="F26" i="2"/>
  <c r="A30" i="2"/>
  <c r="H29" i="2"/>
  <c r="D27" i="2" l="1"/>
  <c r="B28" i="2"/>
  <c r="C28" i="2" s="1"/>
  <c r="F27" i="2"/>
  <c r="A31" i="2"/>
  <c r="H30" i="2"/>
  <c r="D28" i="2" l="1"/>
  <c r="B29" i="2"/>
  <c r="C29" i="2" s="1"/>
  <c r="F28" i="2"/>
  <c r="A32" i="2"/>
  <c r="H31" i="2"/>
  <c r="D29" i="2" l="1"/>
  <c r="B30" i="2"/>
  <c r="B31" i="2" s="1"/>
  <c r="B32" i="2" s="1"/>
  <c r="F29" i="2"/>
  <c r="A33" i="2"/>
  <c r="H32" i="2"/>
  <c r="B33" i="2" l="1"/>
  <c r="D30" i="2"/>
  <c r="C30" i="2"/>
  <c r="C31" i="2"/>
  <c r="F30" i="2"/>
  <c r="A34" i="2"/>
  <c r="H33" i="2"/>
  <c r="B34" i="2" l="1"/>
  <c r="D31" i="2"/>
  <c r="C32" i="2"/>
  <c r="F31" i="2"/>
  <c r="A35" i="2"/>
  <c r="H34" i="2"/>
  <c r="B35" i="2" l="1"/>
  <c r="D32" i="2"/>
  <c r="P31" i="2"/>
  <c r="P43" i="2" s="1"/>
  <c r="C33" i="2"/>
  <c r="F32" i="2"/>
  <c r="A36" i="2"/>
  <c r="H35" i="2"/>
  <c r="B36" i="2" l="1"/>
  <c r="D33" i="2"/>
  <c r="C34" i="2"/>
  <c r="F33" i="2"/>
  <c r="A37" i="2"/>
  <c r="H36" i="2"/>
  <c r="B37" i="2" l="1"/>
  <c r="D34" i="2"/>
  <c r="C35" i="2"/>
  <c r="F34" i="2"/>
  <c r="A38" i="2"/>
  <c r="B38" i="2" s="1"/>
  <c r="H37" i="2"/>
  <c r="D35" i="2" l="1"/>
  <c r="C36" i="2"/>
  <c r="F35" i="2"/>
  <c r="A39" i="2"/>
  <c r="B39" i="2" s="1"/>
  <c r="H38" i="2"/>
  <c r="D36" i="2" l="1"/>
  <c r="C37" i="2"/>
  <c r="F36" i="2"/>
  <c r="A40" i="2"/>
  <c r="B40" i="2" s="1"/>
  <c r="H39" i="2"/>
  <c r="D37" i="2" l="1"/>
  <c r="C38" i="2"/>
  <c r="F37" i="2"/>
  <c r="A41" i="2"/>
  <c r="B41" i="2" s="1"/>
  <c r="H40" i="2"/>
  <c r="D38" i="2" l="1"/>
  <c r="C39" i="2"/>
  <c r="F38" i="2"/>
  <c r="A42" i="2"/>
  <c r="B42" i="2" s="1"/>
  <c r="H41" i="2"/>
  <c r="D39" i="2" l="1"/>
  <c r="C40" i="2"/>
  <c r="F39" i="2"/>
  <c r="H42" i="2"/>
  <c r="H43" i="2" s="1"/>
  <c r="D40" i="2" l="1"/>
  <c r="C41" i="2"/>
  <c r="F40" i="2"/>
  <c r="D41" i="2" l="1"/>
  <c r="C42" i="2"/>
  <c r="F41" i="2"/>
  <c r="D42" i="2" l="1"/>
  <c r="F42" i="2"/>
  <c r="F43" i="2" l="1"/>
  <c r="G20" i="2" l="1"/>
  <c r="E20" i="2" s="1"/>
  <c r="G21" i="2" l="1"/>
  <c r="E21" i="2" s="1"/>
  <c r="G22" i="2" l="1"/>
  <c r="E22" i="2" s="1"/>
  <c r="G23" i="2" l="1"/>
  <c r="E23" i="2" s="1"/>
  <c r="G24" i="2" l="1"/>
  <c r="E24" i="2" s="1"/>
  <c r="G25" i="2" l="1"/>
  <c r="E25" i="2" s="1"/>
  <c r="G26" i="2" l="1"/>
  <c r="E26" i="2" s="1"/>
  <c r="G27" i="2" l="1"/>
  <c r="E27" i="2" s="1"/>
  <c r="G28" i="2" l="1"/>
  <c r="E28" i="2" s="1"/>
  <c r="G29" i="2" l="1"/>
  <c r="E29" i="2" s="1"/>
  <c r="G30" i="2" l="1"/>
  <c r="E30" i="2" s="1"/>
  <c r="G31" i="2"/>
  <c r="E31" i="2" s="1"/>
  <c r="G40" i="2"/>
  <c r="E40" i="2" s="1"/>
  <c r="G41" i="2"/>
  <c r="E41" i="2" s="1"/>
  <c r="G42" i="2"/>
  <c r="E42" i="2" s="1"/>
  <c r="G37" i="2"/>
  <c r="E37" i="2" s="1"/>
  <c r="G38" i="2"/>
  <c r="E38" i="2" s="1"/>
  <c r="G39" i="2"/>
  <c r="E39" i="2" s="1"/>
  <c r="G32" i="2"/>
  <c r="E32" i="2" s="1"/>
  <c r="G33" i="2"/>
  <c r="E33" i="2" s="1"/>
  <c r="G34" i="2"/>
  <c r="E34" i="2" s="1"/>
  <c r="G35" i="2"/>
  <c r="E35" i="2" s="1"/>
  <c r="G36" i="2"/>
  <c r="E36" i="2" s="1"/>
  <c r="R43" i="2" l="1"/>
  <c r="G43" i="2"/>
  <c r="S43" i="2" s="1"/>
  <c r="E43" i="2" l="1"/>
</calcChain>
</file>

<file path=xl/sharedStrings.xml><?xml version="1.0" encoding="utf-8"?>
<sst xmlns="http://schemas.openxmlformats.org/spreadsheetml/2006/main" count="37" uniqueCount="36">
  <si>
    <t>Строк, місяців</t>
  </si>
  <si>
    <t>Дата видачі</t>
  </si>
  <si>
    <t>Розмір кредиту, грн</t>
  </si>
  <si>
    <t>Відсоткова ставка за кредитом</t>
  </si>
  <si>
    <t>Разова комісія, %</t>
  </si>
  <si>
    <t>Щомісячна комісія,%</t>
  </si>
  <si>
    <t xml:space="preserve">Поля для заповнення виділено зеленим </t>
  </si>
  <si>
    <t>Схема погашення</t>
  </si>
  <si>
    <t>Класична</t>
  </si>
  <si>
    <t>Ануїтет</t>
  </si>
  <si>
    <t>№ з/п</t>
  </si>
  <si>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</si>
  <si>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</si>
  <si>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грн.</t>
  </si>
  <si>
    <t>Види платежів за кредитом</t>
  </si>
  <si>
    <t>Реальна річна процентна ставка, %</t>
  </si>
  <si>
    <t>Загальна вартість кредиту, грн</t>
  </si>
  <si>
    <t>сума кредиту за договором</t>
  </si>
  <si>
    <t>проценти за користування кредитом</t>
  </si>
  <si>
    <t>платежі за додаткові та супутні послуги</t>
  </si>
  <si>
    <t>банку</t>
  </si>
  <si>
    <t xml:space="preserve">кредитного посередника </t>
  </si>
  <si>
    <t>третіх осіб</t>
  </si>
  <si>
    <t>комісія за надання кредиту</t>
  </si>
  <si>
    <t>інші послуги банку</t>
  </si>
  <si>
    <t>комісійний збір</t>
  </si>
  <si>
    <t>інша плата за послуги кредитного посередника</t>
  </si>
  <si>
    <t>послуги нотаріуса</t>
  </si>
  <si>
    <t>послуги оцінювача</t>
  </si>
  <si>
    <t>послуги страховика</t>
  </si>
  <si>
    <t>інші послуги третіх осіб</t>
  </si>
  <si>
    <t>Вартість товару/майна, грн</t>
  </si>
  <si>
    <t>Розмір власного внеску, %</t>
  </si>
  <si>
    <t>Залишок тіла кредиту</t>
  </si>
  <si>
    <t>за обслуговування кредитної заборгова-ності</t>
  </si>
  <si>
    <t>розрахунково-касове обслуго-вування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</si>
</sst>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4" fontId="5" fillId="2" borderId="1" xfId="0" applyNumberFormat="1" applyFont="1" applyFill="1" applyBorder="1" applyAlignment="1" applyProtection="1">
      <protection hidden="1"/>
    </xf>
    <xf numFmtId="0" fontId="2" fillId="0" borderId="0" xfId="0" applyFont="1" applyAlignment="1" applyProtection="1">
      <protection hidden="1"/>
    </xf>
    <xf numFmtId="9" fontId="5" fillId="2" borderId="1" xfId="1" applyFont="1" applyFill="1" applyBorder="1" applyAlignment="1" applyProtection="1">
      <protection hidden="1"/>
    </xf>
    <xf numFmtId="4" fontId="5" fillId="0" borderId="1" xfId="0" applyNumberFormat="1" applyFont="1" applyBorder="1" applyAlignment="1" applyProtection="1">
      <protection hidden="1"/>
    </xf>
    <xf numFmtId="0" fontId="3" fillId="0" borderId="0" xfId="0" applyFont="1" applyProtection="1">
      <protection hidden="1"/>
    </xf>
    <xf numFmtId="0" fontId="5" fillId="2" borderId="1" xfId="0" applyFont="1" applyFill="1" applyBorder="1" applyAlignme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1" xfId="0" applyFont="1" applyFill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14" fontId="2" fillId="0" borderId="0" xfId="0" applyNumberFormat="1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2" fillId="0" borderId="4" xfId="0" applyFont="1" applyBorder="1" applyAlignment="1" applyProtection="1">
      <alignment horizontal="left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14" fontId="6" fillId="0" borderId="0" xfId="0" applyNumberFormat="1" applyFont="1" applyAlignment="1" applyProtection="1">
      <alignment horizontal="center"/>
      <protection hidden="1"/>
    </xf>
    <xf numFmtId="4" fontId="6" fillId="0" borderId="0" xfId="0" applyNumberFormat="1" applyFont="1" applyProtection="1">
      <protection hidden="1"/>
    </xf>
    <xf numFmtId="14" fontId="5" fillId="3" borderId="1" xfId="0" applyNumberFormat="1" applyFont="1" applyFill="1" applyBorder="1" applyProtection="1">
      <protection hidden="1"/>
    </xf>
    <xf numFmtId="4" fontId="5" fillId="3" borderId="1" xfId="0" applyNumberFormat="1" applyFont="1" applyFill="1" applyBorder="1" applyAlignment="1" applyProtection="1">
      <alignment horizontal="right"/>
      <protection hidden="1"/>
    </xf>
    <xf numFmtId="10" fontId="5" fillId="3" borderId="1" xfId="1" applyNumberFormat="1" applyFont="1" applyFill="1" applyBorder="1" applyAlignment="1" applyProtection="1"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14" fontId="6" fillId="0" borderId="5" xfId="0" applyNumberFormat="1" applyFont="1" applyBorder="1" applyAlignment="1" applyProtection="1">
      <alignment horizontal="center" vertical="center"/>
      <protection hidden="1"/>
    </xf>
    <xf numFmtId="4" fontId="6" fillId="0" borderId="5" xfId="0" applyNumberFormat="1" applyFont="1" applyBorder="1" applyAlignment="1" applyProtection="1">
      <alignment horizontal="right" vertical="center" wrapText="1"/>
      <protection hidden="1"/>
    </xf>
    <xf numFmtId="0" fontId="6" fillId="0" borderId="5" xfId="0" applyFont="1" applyBorder="1" applyAlignment="1" applyProtection="1">
      <alignment horizontal="right" vertical="center"/>
      <protection hidden="1"/>
    </xf>
    <xf numFmtId="4" fontId="6" fillId="0" borderId="5" xfId="0" applyNumberFormat="1" applyFont="1" applyBorder="1" applyAlignment="1" applyProtection="1">
      <alignment horizontal="right" vertical="center"/>
      <protection hidden="1"/>
    </xf>
    <xf numFmtId="4" fontId="6" fillId="0" borderId="5" xfId="0" applyNumberFormat="1" applyFont="1" applyBorder="1" applyProtection="1">
      <protection hidden="1"/>
    </xf>
    <xf numFmtId="0" fontId="6" fillId="0" borderId="5" xfId="0" applyFont="1" applyBorder="1" applyProtection="1">
      <protection hidden="1"/>
    </xf>
    <xf numFmtId="0" fontId="6" fillId="0" borderId="5" xfId="0" applyFont="1" applyBorder="1" applyAlignment="1" applyProtection="1">
      <alignment horizontal="center"/>
      <protection hidden="1"/>
    </xf>
    <xf numFmtId="14" fontId="6" fillId="0" borderId="5" xfId="0" applyNumberFormat="1" applyFont="1" applyBorder="1" applyAlignment="1" applyProtection="1">
      <alignment horizontal="center"/>
      <protection hidden="1"/>
    </xf>
    <xf numFmtId="3" fontId="6" fillId="0" borderId="5" xfId="0" applyNumberFormat="1" applyFont="1" applyBorder="1" applyAlignment="1" applyProtection="1">
      <alignment horizontal="center"/>
      <protection hidden="1"/>
    </xf>
    <xf numFmtId="4" fontId="7" fillId="0" borderId="0" xfId="0" applyNumberFormat="1" applyFont="1" applyProtection="1">
      <protection hidden="1"/>
    </xf>
    <xf numFmtId="10" fontId="7" fillId="0" borderId="0" xfId="1" applyNumberFormat="1" applyFont="1" applyProtection="1"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0"/>
  <sheetViews>
    <sheetView tabSelected="1" zoomScaleNormal="100" workbookViewId="0">
      <selection activeCell="D3" sqref="D3"/>
    </sheetView>
  </sheetViews>
  <sheetFormatPr defaultRowHeight="15.75" x14ac:dyDescent="0.25"/>
  <cols>
    <col min="1" max="1" width="8" style="2" customWidth="1"/>
    <col min="2" max="2" width="17.85546875" style="2" customWidth="1"/>
    <col min="3" max="3" width="14.5703125" style="1" customWidth="1"/>
    <col min="4" max="4" width="17.140625" style="2" customWidth="1"/>
    <col min="5" max="5" width="14.7109375" style="2" customWidth="1"/>
    <col min="6" max="6" width="14.5703125" style="2" customWidth="1"/>
    <col min="7" max="7" width="13.5703125" style="2" customWidth="1"/>
    <col min="8" max="8" width="13.42578125" style="2" customWidth="1"/>
    <col min="9" max="9" width="12.7109375" style="2" customWidth="1"/>
    <col min="10" max="10" width="11.28515625" style="2" customWidth="1"/>
    <col min="11" max="11" width="14.140625" style="2" customWidth="1"/>
    <col min="12" max="12" width="12" style="2" customWidth="1"/>
    <col min="13" max="13" width="12.85546875" style="2" customWidth="1"/>
    <col min="14" max="15" width="10.85546875" style="2" customWidth="1"/>
    <col min="16" max="16" width="11.7109375" style="2" customWidth="1"/>
    <col min="17" max="17" width="11.28515625" style="2" customWidth="1"/>
    <col min="18" max="18" width="14.28515625" style="2" customWidth="1"/>
    <col min="19" max="19" width="14.5703125" style="2" customWidth="1"/>
    <col min="20" max="16384" width="9.140625" style="2"/>
  </cols>
  <sheetData>
    <row r="1" spans="1:19" x14ac:dyDescent="0.25">
      <c r="A1" s="14" t="s">
        <v>1</v>
      </c>
      <c r="B1" s="14"/>
      <c r="C1" s="14"/>
      <c r="D1" s="24">
        <f ca="1">TODAY()</f>
        <v>45475</v>
      </c>
      <c r="F1" s="13">
        <f ca="1">DAY(D1)</f>
        <v>2</v>
      </c>
      <c r="G1" s="13">
        <v>12</v>
      </c>
      <c r="K1" s="13" t="s">
        <v>8</v>
      </c>
    </row>
    <row r="2" spans="1:19" ht="15.75" customHeight="1" x14ac:dyDescent="0.25">
      <c r="A2" s="14" t="s">
        <v>31</v>
      </c>
      <c r="B2" s="14"/>
      <c r="C2" s="14"/>
      <c r="D2" s="3">
        <v>1000000</v>
      </c>
      <c r="E2" s="4"/>
      <c r="G2" s="13">
        <v>24</v>
      </c>
      <c r="K2" s="13" t="s">
        <v>9</v>
      </c>
    </row>
    <row r="3" spans="1:19" x14ac:dyDescent="0.25">
      <c r="A3" s="14" t="s">
        <v>32</v>
      </c>
      <c r="B3" s="14"/>
      <c r="C3" s="14"/>
      <c r="D3" s="5">
        <v>0.3</v>
      </c>
      <c r="E3" s="4"/>
    </row>
    <row r="4" spans="1:19" x14ac:dyDescent="0.25">
      <c r="A4" s="14" t="s">
        <v>2</v>
      </c>
      <c r="B4" s="14"/>
      <c r="C4" s="14"/>
      <c r="D4" s="6">
        <f>D2*(1-D3)</f>
        <v>700000</v>
      </c>
      <c r="E4" s="4"/>
    </row>
    <row r="5" spans="1:19" x14ac:dyDescent="0.25">
      <c r="A5" s="15" t="s">
        <v>7</v>
      </c>
      <c r="B5" s="16"/>
      <c r="C5" s="17"/>
      <c r="D5" s="25" t="s">
        <v>8</v>
      </c>
      <c r="E5" s="4"/>
    </row>
    <row r="6" spans="1:19" x14ac:dyDescent="0.25">
      <c r="A6" s="14" t="s">
        <v>3</v>
      </c>
      <c r="B6" s="14"/>
      <c r="C6" s="14"/>
      <c r="D6" s="26">
        <f>IF(D9=12,0.0349,0.0849)</f>
        <v>8.4900000000000003E-2</v>
      </c>
      <c r="E6" s="4"/>
    </row>
    <row r="7" spans="1:19" x14ac:dyDescent="0.25">
      <c r="A7" s="14" t="s">
        <v>4</v>
      </c>
      <c r="B7" s="14"/>
      <c r="C7" s="14"/>
      <c r="D7" s="26">
        <v>2.4899999999999999E-2</v>
      </c>
      <c r="E7" s="4"/>
    </row>
    <row r="8" spans="1:19" x14ac:dyDescent="0.25">
      <c r="A8" s="14" t="s">
        <v>5</v>
      </c>
      <c r="B8" s="14"/>
      <c r="C8" s="14"/>
      <c r="D8" s="26">
        <v>2.5000000000000001E-3</v>
      </c>
      <c r="E8" s="4"/>
      <c r="H8" s="7"/>
    </row>
    <row r="9" spans="1:19" x14ac:dyDescent="0.25">
      <c r="A9" s="14" t="s">
        <v>0</v>
      </c>
      <c r="B9" s="14"/>
      <c r="C9" s="14"/>
      <c r="D9" s="8">
        <v>24</v>
      </c>
      <c r="E9" s="4"/>
    </row>
    <row r="10" spans="1:19" s="9" customFormat="1" x14ac:dyDescent="0.25">
      <c r="A10" s="2"/>
      <c r="B10" s="2"/>
      <c r="C10" s="1"/>
      <c r="D10" s="2"/>
      <c r="E10" s="2"/>
      <c r="F10" s="2"/>
      <c r="G10" s="2"/>
    </row>
    <row r="11" spans="1:19" s="9" customFormat="1" x14ac:dyDescent="0.25">
      <c r="A11" s="14" t="s">
        <v>6</v>
      </c>
      <c r="B11" s="14"/>
      <c r="C11" s="14"/>
      <c r="D11" s="10"/>
      <c r="E11" s="2"/>
      <c r="F11" s="2"/>
      <c r="G11" s="2"/>
    </row>
    <row r="12" spans="1:19" s="9" customFormat="1" x14ac:dyDescent="0.25">
      <c r="A12" s="2"/>
      <c r="B12" s="2"/>
      <c r="C12" s="1"/>
      <c r="D12" s="2"/>
      <c r="E12" s="2"/>
      <c r="F12" s="2"/>
      <c r="G12" s="2"/>
    </row>
    <row r="13" spans="1:19" s="9" customFormat="1" x14ac:dyDescent="0.25">
      <c r="A13" s="18" t="s">
        <v>10</v>
      </c>
      <c r="B13" s="18" t="s">
        <v>11</v>
      </c>
      <c r="C13" s="18" t="s">
        <v>12</v>
      </c>
      <c r="D13" s="18" t="s">
        <v>33</v>
      </c>
      <c r="E13" s="18" t="s">
        <v>13</v>
      </c>
      <c r="F13" s="18" t="s">
        <v>14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 t="s">
        <v>15</v>
      </c>
      <c r="S13" s="18" t="s">
        <v>16</v>
      </c>
    </row>
    <row r="14" spans="1:19" s="9" customFormat="1" ht="15.75" customHeight="1" x14ac:dyDescent="0.25">
      <c r="A14" s="18"/>
      <c r="B14" s="18"/>
      <c r="C14" s="18"/>
      <c r="D14" s="18"/>
      <c r="E14" s="18"/>
      <c r="F14" s="18" t="s">
        <v>17</v>
      </c>
      <c r="G14" s="18" t="s">
        <v>18</v>
      </c>
      <c r="H14" s="18" t="s">
        <v>19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s="9" customFormat="1" ht="15.75" customHeight="1" x14ac:dyDescent="0.25">
      <c r="A15" s="18"/>
      <c r="B15" s="18"/>
      <c r="C15" s="18"/>
      <c r="D15" s="18"/>
      <c r="E15" s="18"/>
      <c r="F15" s="18"/>
      <c r="G15" s="18"/>
      <c r="H15" s="18" t="s">
        <v>20</v>
      </c>
      <c r="I15" s="18"/>
      <c r="J15" s="18"/>
      <c r="K15" s="18"/>
      <c r="L15" s="18" t="s">
        <v>21</v>
      </c>
      <c r="M15" s="18"/>
      <c r="N15" s="18" t="s">
        <v>22</v>
      </c>
      <c r="O15" s="18"/>
      <c r="P15" s="18"/>
      <c r="Q15" s="18"/>
      <c r="R15" s="18"/>
      <c r="S15" s="18"/>
    </row>
    <row r="16" spans="1:19" s="9" customFormat="1" ht="93" customHeight="1" x14ac:dyDescent="0.25">
      <c r="A16" s="18"/>
      <c r="B16" s="18"/>
      <c r="C16" s="18"/>
      <c r="D16" s="18"/>
      <c r="E16" s="18"/>
      <c r="F16" s="18"/>
      <c r="G16" s="18"/>
      <c r="H16" s="19" t="s">
        <v>34</v>
      </c>
      <c r="I16" s="19" t="s">
        <v>35</v>
      </c>
      <c r="J16" s="19" t="s">
        <v>23</v>
      </c>
      <c r="K16" s="19" t="s">
        <v>24</v>
      </c>
      <c r="L16" s="19" t="s">
        <v>25</v>
      </c>
      <c r="M16" s="19" t="s">
        <v>26</v>
      </c>
      <c r="N16" s="19" t="s">
        <v>27</v>
      </c>
      <c r="O16" s="19" t="s">
        <v>28</v>
      </c>
      <c r="P16" s="19" t="s">
        <v>29</v>
      </c>
      <c r="Q16" s="19" t="s">
        <v>30</v>
      </c>
      <c r="R16" s="18"/>
      <c r="S16" s="18"/>
    </row>
    <row r="17" spans="1:20" s="9" customFormat="1" x14ac:dyDescent="0.25">
      <c r="A17" s="19">
        <v>1</v>
      </c>
      <c r="B17" s="19">
        <v>2</v>
      </c>
      <c r="C17" s="19">
        <v>3</v>
      </c>
      <c r="D17" s="19">
        <v>4</v>
      </c>
      <c r="E17" s="19">
        <v>5</v>
      </c>
      <c r="F17" s="19">
        <v>6</v>
      </c>
      <c r="G17" s="19">
        <v>7</v>
      </c>
      <c r="H17" s="19">
        <v>8</v>
      </c>
      <c r="I17" s="19">
        <v>9</v>
      </c>
      <c r="J17" s="19">
        <v>10</v>
      </c>
      <c r="K17" s="19">
        <v>11</v>
      </c>
      <c r="L17" s="19">
        <v>12</v>
      </c>
      <c r="M17" s="19">
        <v>13</v>
      </c>
      <c r="N17" s="19">
        <v>14</v>
      </c>
      <c r="O17" s="19">
        <v>15</v>
      </c>
      <c r="P17" s="19">
        <v>16</v>
      </c>
      <c r="Q17" s="19">
        <v>17</v>
      </c>
      <c r="R17" s="19">
        <v>18</v>
      </c>
      <c r="S17" s="19">
        <v>19</v>
      </c>
    </row>
    <row r="18" spans="1:20" x14ac:dyDescent="0.25">
      <c r="A18" s="27"/>
      <c r="B18" s="28">
        <f ca="1">D1</f>
        <v>45475</v>
      </c>
      <c r="C18" s="28"/>
      <c r="D18" s="29"/>
      <c r="E18" s="29">
        <f>-D4+J18+I18+K18+L18+M18+N18+O18+P18+Q18</f>
        <v>-622570</v>
      </c>
      <c r="F18" s="30"/>
      <c r="G18" s="30"/>
      <c r="H18" s="29"/>
      <c r="I18" s="31"/>
      <c r="J18" s="32">
        <f>D4*D7</f>
        <v>17430</v>
      </c>
      <c r="K18" s="33"/>
      <c r="L18" s="33"/>
      <c r="M18" s="33"/>
      <c r="N18" s="33"/>
      <c r="O18" s="33"/>
      <c r="P18" s="32">
        <f>D2*0.06</f>
        <v>60000</v>
      </c>
      <c r="Q18" s="33"/>
      <c r="R18" s="33"/>
      <c r="S18" s="33"/>
      <c r="T18" s="20"/>
    </row>
    <row r="19" spans="1:20" x14ac:dyDescent="0.25">
      <c r="A19" s="34">
        <v>1</v>
      </c>
      <c r="B19" s="35">
        <f ca="1">IFERROR(IF(A19&gt;$D$9," ",DATE(YEAR(B18),MONTH(B18)+1,$F$1))," ")</f>
        <v>45506</v>
      </c>
      <c r="C19" s="36">
        <f ca="1">IFERROR(B19-B18," ")</f>
        <v>31</v>
      </c>
      <c r="D19" s="32">
        <f>$D$4</f>
        <v>700000</v>
      </c>
      <c r="E19" s="29">
        <f ca="1">IFERROR(F19+G19+H19," ")</f>
        <v>35964.146118721459</v>
      </c>
      <c r="F19" s="32">
        <f>IF(AND(A19&lt;=$D$9,$D$5="Класична"),$D$4/$D$9,IF(AND(A19&lt;=$D$9,$D$5="Ануїтет"),#REF!-G19,0))</f>
        <v>29166.666666666668</v>
      </c>
      <c r="G19" s="32">
        <f ca="1">IFERROR(IF(A19&gt;$D$9," ",(D19*C19*$D$6)/365)," ")</f>
        <v>5047.4794520547948</v>
      </c>
      <c r="H19" s="32">
        <f>D4*D8</f>
        <v>1750</v>
      </c>
      <c r="I19" s="32"/>
      <c r="J19" s="33"/>
      <c r="K19" s="33"/>
      <c r="L19" s="33"/>
      <c r="M19" s="33"/>
      <c r="N19" s="33"/>
      <c r="O19" s="33"/>
      <c r="P19" s="32"/>
      <c r="Q19" s="33"/>
      <c r="R19" s="33"/>
      <c r="S19" s="33"/>
      <c r="T19" s="20"/>
    </row>
    <row r="20" spans="1:20" ht="15.75" customHeight="1" x14ac:dyDescent="0.25">
      <c r="A20" s="34">
        <f>IFERROR(IF(A19+1&gt;$D$9," ",A19+1)," ")</f>
        <v>2</v>
      </c>
      <c r="B20" s="35">
        <f t="shared" ref="B20:B42" ca="1" si="0">IFERROR(IF(A20&gt;$D$9," ",DATE(YEAR(B19),MONTH(B19)+1,$F$1))," ")</f>
        <v>45537</v>
      </c>
      <c r="C20" s="36">
        <f t="shared" ref="C20:C42" ca="1" si="1">IFERROR(B20-B19," ")</f>
        <v>31</v>
      </c>
      <c r="D20" s="32">
        <f>IFERROR(IF(A20&gt;$D$9," ",D19-F19)," ")</f>
        <v>670833.33333333337</v>
      </c>
      <c r="E20" s="29">
        <f t="shared" ref="E20:E42" ca="1" si="2">IFERROR(F20+G20+H20," ")</f>
        <v>35753.834474885844</v>
      </c>
      <c r="F20" s="32">
        <f>IFERROR(IF(A20&gt;$D$9," ",IF(AND(A20&lt;=$D$9,$D$5="Класична"),$D$4/$D$9,IF(AND(A20&lt;$D$9,$D$5="Ануїтет"),#REF!-G20,IF(AND(A20=$D$9,$D$5="Ануїтет"),E20,0))))," ")</f>
        <v>29166.666666666668</v>
      </c>
      <c r="G20" s="32">
        <f t="shared" ref="G20:G42" ca="1" si="3">IFERROR(IF(A20&gt;$D$9," ",(D20*C20*$D$6)/365)," ")</f>
        <v>4837.1678082191784</v>
      </c>
      <c r="H20" s="32">
        <f>IFERROR(IF(A20&gt;$D$9," ",IF(A20&lt;=$D$9,$D$4*$D$8,0))," ")</f>
        <v>1750</v>
      </c>
      <c r="I20" s="32"/>
      <c r="J20" s="33"/>
      <c r="K20" s="33"/>
      <c r="L20" s="33"/>
      <c r="M20" s="33"/>
      <c r="N20" s="33"/>
      <c r="O20" s="33"/>
      <c r="P20" s="32"/>
      <c r="Q20" s="33"/>
      <c r="R20" s="33"/>
      <c r="S20" s="33"/>
      <c r="T20" s="20"/>
    </row>
    <row r="21" spans="1:20" x14ac:dyDescent="0.25">
      <c r="A21" s="34">
        <f t="shared" ref="A21:A42" si="4">IFERROR(IF(A20+1&gt;$D$9," ",A20+1)," ")</f>
        <v>3</v>
      </c>
      <c r="B21" s="35">
        <f t="shared" ca="1" si="0"/>
        <v>45567</v>
      </c>
      <c r="C21" s="36">
        <f t="shared" ca="1" si="1"/>
        <v>30</v>
      </c>
      <c r="D21" s="32">
        <f t="shared" ref="D21:D42" si="5">IFERROR(IF(A21&gt;$D$9," ",D20-F20)," ")</f>
        <v>641666.66666666674</v>
      </c>
      <c r="E21" s="29">
        <f t="shared" ca="1" si="2"/>
        <v>35394.269406392697</v>
      </c>
      <c r="F21" s="32">
        <f>IFERROR(IF(A21&gt;$D$9," ",IF(AND(A21&lt;=$D$9,$D$5="Класична"),$D$4/$D$9,IF(AND(A21&lt;$D$9,$D$5="Ануїтет"),#REF!-G21,IF(AND(A21=$D$9,$D$5="Ануїтет"),E21,0))))," ")</f>
        <v>29166.666666666668</v>
      </c>
      <c r="G21" s="32">
        <f t="shared" ca="1" si="3"/>
        <v>4477.6027397260286</v>
      </c>
      <c r="H21" s="32">
        <f>IFERROR(IF(A21&gt;$D$9," ",IF(A21&lt;=$D$9,$D$4*$D$8,0))," ")</f>
        <v>1750</v>
      </c>
      <c r="I21" s="32"/>
      <c r="J21" s="33"/>
      <c r="K21" s="33"/>
      <c r="L21" s="33"/>
      <c r="M21" s="33"/>
      <c r="N21" s="33"/>
      <c r="O21" s="33"/>
      <c r="P21" s="32"/>
      <c r="Q21" s="33"/>
      <c r="R21" s="33"/>
      <c r="S21" s="33"/>
      <c r="T21" s="20"/>
    </row>
    <row r="22" spans="1:20" x14ac:dyDescent="0.25">
      <c r="A22" s="34">
        <f t="shared" si="4"/>
        <v>4</v>
      </c>
      <c r="B22" s="35">
        <f t="shared" ca="1" si="0"/>
        <v>45598</v>
      </c>
      <c r="C22" s="36">
        <f t="shared" ca="1" si="1"/>
        <v>31</v>
      </c>
      <c r="D22" s="32">
        <f t="shared" si="5"/>
        <v>612500.00000000012</v>
      </c>
      <c r="E22" s="29">
        <f t="shared" ca="1" si="2"/>
        <v>35333.211187214612</v>
      </c>
      <c r="F22" s="32">
        <f>IFERROR(IF(A22&gt;$D$9," ",IF(AND(A22&lt;=$D$9,$D$5="Класична"),$D$4/$D$9,IF(AND(A22&lt;$D$9,$D$5="Ануїтет"),#REF!-G22,IF(AND(A22=$D$9,$D$5="Ануїтет"),E22,0))))," ")</f>
        <v>29166.666666666668</v>
      </c>
      <c r="G22" s="32">
        <f t="shared" ca="1" si="3"/>
        <v>4416.5445205479464</v>
      </c>
      <c r="H22" s="32">
        <f>IFERROR(IF(A22&gt;$D$9," ",IF(A22&lt;=$D$9,$D$4*$D$8,0))," ")</f>
        <v>1750</v>
      </c>
      <c r="I22" s="32"/>
      <c r="J22" s="33"/>
      <c r="K22" s="33"/>
      <c r="L22" s="33"/>
      <c r="M22" s="33"/>
      <c r="N22" s="33"/>
      <c r="O22" s="33"/>
      <c r="P22" s="32"/>
      <c r="Q22" s="33"/>
      <c r="R22" s="33"/>
      <c r="S22" s="33"/>
      <c r="T22" s="20"/>
    </row>
    <row r="23" spans="1:20" x14ac:dyDescent="0.25">
      <c r="A23" s="34">
        <f t="shared" si="4"/>
        <v>5</v>
      </c>
      <c r="B23" s="35">
        <f t="shared" ca="1" si="0"/>
        <v>45628</v>
      </c>
      <c r="C23" s="36">
        <f t="shared" ca="1" si="1"/>
        <v>30</v>
      </c>
      <c r="D23" s="32">
        <f t="shared" si="5"/>
        <v>583333.33333333349</v>
      </c>
      <c r="E23" s="29">
        <f t="shared" ca="1" si="2"/>
        <v>34987.21461187215</v>
      </c>
      <c r="F23" s="32">
        <f>IFERROR(IF(A23&gt;$D$9," ",IF(AND(A23&lt;=$D$9,$D$5="Класична"),$D$4/$D$9,IF(AND(A23&lt;$D$9,$D$5="Ануїтет"),#REF!-G23,IF(AND(A23=$D$9,$D$5="Ануїтет"),E23,0))))," ")</f>
        <v>29166.666666666668</v>
      </c>
      <c r="G23" s="32">
        <f t="shared" ca="1" si="3"/>
        <v>4070.5479452054806</v>
      </c>
      <c r="H23" s="32">
        <f>IFERROR(IF(A23&gt;$D$9," ",IF(A23&lt;=$D$9,$D$4*$D$8,0))," ")</f>
        <v>1750</v>
      </c>
      <c r="I23" s="32"/>
      <c r="J23" s="33"/>
      <c r="K23" s="33"/>
      <c r="L23" s="33"/>
      <c r="M23" s="33"/>
      <c r="N23" s="33"/>
      <c r="O23" s="33"/>
      <c r="P23" s="32"/>
      <c r="Q23" s="33"/>
      <c r="R23" s="33"/>
      <c r="S23" s="33"/>
      <c r="T23" s="20"/>
    </row>
    <row r="24" spans="1:20" x14ac:dyDescent="0.25">
      <c r="A24" s="34">
        <f t="shared" si="4"/>
        <v>6</v>
      </c>
      <c r="B24" s="35">
        <f t="shared" ca="1" si="0"/>
        <v>45659</v>
      </c>
      <c r="C24" s="36">
        <f t="shared" ca="1" si="1"/>
        <v>31</v>
      </c>
      <c r="D24" s="32">
        <f t="shared" si="5"/>
        <v>554166.66666666686</v>
      </c>
      <c r="E24" s="29">
        <f t="shared" ca="1" si="2"/>
        <v>34912.587899543381</v>
      </c>
      <c r="F24" s="32">
        <f>IFERROR(IF(A24&gt;$D$9," ",IF(AND(A24&lt;=$D$9,$D$5="Класична"),$D$4/$D$9,IF(AND(A24&lt;$D$9,$D$5="Ануїтет"),#REF!-G24,IF(AND(A24=$D$9,$D$5="Ануїтет"),E24,0))))," ")</f>
        <v>29166.666666666668</v>
      </c>
      <c r="G24" s="32">
        <f t="shared" ca="1" si="3"/>
        <v>3995.9212328767135</v>
      </c>
      <c r="H24" s="32">
        <f>IFERROR(IF(A24&gt;$D$9," ",IF(A24&lt;=$D$9,$D$4*$D$8,0))," ")</f>
        <v>1750</v>
      </c>
      <c r="I24" s="32"/>
      <c r="J24" s="33"/>
      <c r="K24" s="33"/>
      <c r="L24" s="33"/>
      <c r="M24" s="33"/>
      <c r="N24" s="33"/>
      <c r="O24" s="33"/>
      <c r="P24" s="32"/>
      <c r="Q24" s="33"/>
      <c r="R24" s="33"/>
      <c r="S24" s="33"/>
      <c r="T24" s="20"/>
    </row>
    <row r="25" spans="1:20" x14ac:dyDescent="0.25">
      <c r="A25" s="34">
        <f t="shared" si="4"/>
        <v>7</v>
      </c>
      <c r="B25" s="35">
        <f t="shared" ca="1" si="0"/>
        <v>45690</v>
      </c>
      <c r="C25" s="36">
        <f t="shared" ca="1" si="1"/>
        <v>31</v>
      </c>
      <c r="D25" s="32">
        <f t="shared" si="5"/>
        <v>525000.00000000023</v>
      </c>
      <c r="E25" s="29">
        <f t="shared" ca="1" si="2"/>
        <v>34702.276255707766</v>
      </c>
      <c r="F25" s="32">
        <f>IFERROR(IF(A25&gt;$D$9," ",IF(AND(A25&lt;=$D$9,$D$5="Класична"),$D$4/$D$9,IF(AND(A25&lt;$D$9,$D$5="Ануїтет"),#REF!-G25,IF(AND(A25=$D$9,$D$5="Ануїтет"),E25,0))))," ")</f>
        <v>29166.666666666668</v>
      </c>
      <c r="G25" s="32">
        <f t="shared" ca="1" si="3"/>
        <v>3785.6095890410979</v>
      </c>
      <c r="H25" s="32">
        <f>IFERROR(IF(A25&gt;$D$9," ",IF(A25&lt;=$D$9,$D$4*$D$8,0))," ")</f>
        <v>1750</v>
      </c>
      <c r="I25" s="32"/>
      <c r="J25" s="33"/>
      <c r="K25" s="33"/>
      <c r="L25" s="33"/>
      <c r="M25" s="33"/>
      <c r="N25" s="33"/>
      <c r="O25" s="33"/>
      <c r="P25" s="32"/>
      <c r="Q25" s="33"/>
      <c r="R25" s="33"/>
      <c r="S25" s="33"/>
      <c r="T25" s="20"/>
    </row>
    <row r="26" spans="1:20" x14ac:dyDescent="0.25">
      <c r="A26" s="34">
        <f t="shared" si="4"/>
        <v>8</v>
      </c>
      <c r="B26" s="35">
        <f t="shared" ca="1" si="0"/>
        <v>45718</v>
      </c>
      <c r="C26" s="36">
        <f t="shared" ca="1" si="1"/>
        <v>28</v>
      </c>
      <c r="D26" s="32">
        <f t="shared" si="5"/>
        <v>495833.33333333355</v>
      </c>
      <c r="E26" s="29">
        <f t="shared" ca="1" si="2"/>
        <v>34145.968036529681</v>
      </c>
      <c r="F26" s="32">
        <f>IFERROR(IF(A26&gt;$D$9," ",IF(AND(A26&lt;=$D$9,$D$5="Класична"),$D$4/$D$9,IF(AND(A26&lt;$D$9,$D$5="Ануїтет"),#REF!-G26,IF(AND(A26=$D$9,$D$5="Ануїтет"),E26,0))))," ")</f>
        <v>29166.666666666668</v>
      </c>
      <c r="G26" s="32">
        <f t="shared" ca="1" si="3"/>
        <v>3229.3013698630148</v>
      </c>
      <c r="H26" s="32">
        <f>IFERROR(IF(A26&gt;$D$9," ",IF(A26&lt;=$D$9,$D$4*$D$8,0))," ")</f>
        <v>1750</v>
      </c>
      <c r="I26" s="32"/>
      <c r="J26" s="33"/>
      <c r="K26" s="33"/>
      <c r="L26" s="33"/>
      <c r="M26" s="33"/>
      <c r="N26" s="33"/>
      <c r="O26" s="33"/>
      <c r="P26" s="32"/>
      <c r="Q26" s="33"/>
      <c r="R26" s="33"/>
      <c r="S26" s="33"/>
      <c r="T26" s="20"/>
    </row>
    <row r="27" spans="1:20" x14ac:dyDescent="0.25">
      <c r="A27" s="34">
        <f t="shared" si="4"/>
        <v>9</v>
      </c>
      <c r="B27" s="35">
        <f t="shared" ca="1" si="0"/>
        <v>45749</v>
      </c>
      <c r="C27" s="36">
        <f t="shared" ca="1" si="1"/>
        <v>31</v>
      </c>
      <c r="D27" s="32">
        <f t="shared" si="5"/>
        <v>466666.66666666686</v>
      </c>
      <c r="E27" s="29">
        <f t="shared" ca="1" si="2"/>
        <v>34281.652968036535</v>
      </c>
      <c r="F27" s="32">
        <f>IFERROR(IF(A27&gt;$D$9," ",IF(AND(A27&lt;=$D$9,$D$5="Класична"),$D$4/$D$9,IF(AND(A27&lt;$D$9,$D$5="Ануїтет"),#REF!-G27,IF(AND(A27=$D$9,$D$5="Ануїтет"),E27,0))))," ")</f>
        <v>29166.666666666668</v>
      </c>
      <c r="G27" s="32">
        <f t="shared" ca="1" si="3"/>
        <v>3364.986301369865</v>
      </c>
      <c r="H27" s="32">
        <f>IFERROR(IF(A27&gt;$D$9," ",IF(A27&lt;=$D$9,$D$4*$D$8,0))," ")</f>
        <v>1750</v>
      </c>
      <c r="I27" s="32"/>
      <c r="J27" s="33"/>
      <c r="K27" s="33"/>
      <c r="L27" s="33"/>
      <c r="M27" s="33"/>
      <c r="N27" s="33"/>
      <c r="O27" s="33"/>
      <c r="P27" s="32"/>
      <c r="Q27" s="33"/>
      <c r="R27" s="33"/>
      <c r="S27" s="33"/>
      <c r="T27" s="20"/>
    </row>
    <row r="28" spans="1:20" x14ac:dyDescent="0.25">
      <c r="A28" s="34">
        <f t="shared" si="4"/>
        <v>10</v>
      </c>
      <c r="B28" s="35">
        <f t="shared" ca="1" si="0"/>
        <v>45779</v>
      </c>
      <c r="C28" s="36">
        <f t="shared" ca="1" si="1"/>
        <v>30</v>
      </c>
      <c r="D28" s="32">
        <f t="shared" si="5"/>
        <v>437500.00000000017</v>
      </c>
      <c r="E28" s="29">
        <f t="shared" ca="1" si="2"/>
        <v>33969.577625570775</v>
      </c>
      <c r="F28" s="32">
        <f>IFERROR(IF(A28&gt;$D$9," ",IF(AND(A28&lt;=$D$9,$D$5="Класична"),$D$4/$D$9,IF(AND(A28&lt;$D$9,$D$5="Ануїтет"),#REF!-G28,IF(AND(A28=$D$9,$D$5="Ануїтет"),E28,0))))," ")</f>
        <v>29166.666666666668</v>
      </c>
      <c r="G28" s="32">
        <f t="shared" ca="1" si="3"/>
        <v>3052.9109589041109</v>
      </c>
      <c r="H28" s="32">
        <f>IFERROR(IF(A28&gt;$D$9," ",IF(A28&lt;=$D$9,$D$4*$D$8,0))," ")</f>
        <v>1750</v>
      </c>
      <c r="I28" s="32"/>
      <c r="J28" s="33"/>
      <c r="K28" s="33"/>
      <c r="L28" s="33"/>
      <c r="M28" s="33"/>
      <c r="N28" s="33"/>
      <c r="O28" s="33"/>
      <c r="P28" s="32"/>
      <c r="Q28" s="33"/>
      <c r="R28" s="33"/>
      <c r="S28" s="33"/>
      <c r="T28" s="20"/>
    </row>
    <row r="29" spans="1:20" x14ac:dyDescent="0.25">
      <c r="A29" s="34">
        <f t="shared" si="4"/>
        <v>11</v>
      </c>
      <c r="B29" s="35">
        <f t="shared" ca="1" si="0"/>
        <v>45810</v>
      </c>
      <c r="C29" s="36">
        <f t="shared" ca="1" si="1"/>
        <v>31</v>
      </c>
      <c r="D29" s="32">
        <f t="shared" si="5"/>
        <v>408333.33333333349</v>
      </c>
      <c r="E29" s="29">
        <f t="shared" ca="1" si="2"/>
        <v>33861.029680365304</v>
      </c>
      <c r="F29" s="32">
        <f>IFERROR(IF(A29&gt;$D$9," ",IF(AND(A29&lt;=$D$9,$D$5="Класична"),$D$4/$D$9,IF(AND(A29&lt;$D$9,$D$5="Ануїтет"),#REF!-G29,IF(AND(A29=$D$9,$D$5="Ануїтет"),E29,0))))," ")</f>
        <v>29166.666666666668</v>
      </c>
      <c r="G29" s="32">
        <f t="shared" ca="1" si="3"/>
        <v>2944.3630136986312</v>
      </c>
      <c r="H29" s="32">
        <f>IFERROR(IF(A29&gt;$D$9," ",IF(A29&lt;=$D$9,$D$4*$D$8,0))," ")</f>
        <v>1750</v>
      </c>
      <c r="I29" s="32"/>
      <c r="J29" s="33"/>
      <c r="K29" s="33"/>
      <c r="L29" s="33"/>
      <c r="M29" s="33"/>
      <c r="N29" s="33"/>
      <c r="O29" s="33"/>
      <c r="P29" s="32"/>
      <c r="Q29" s="33"/>
      <c r="R29" s="33"/>
      <c r="S29" s="33"/>
      <c r="T29" s="20"/>
    </row>
    <row r="30" spans="1:20" x14ac:dyDescent="0.25">
      <c r="A30" s="34">
        <f t="shared" si="4"/>
        <v>12</v>
      </c>
      <c r="B30" s="35">
        <f t="shared" ca="1" si="0"/>
        <v>45840</v>
      </c>
      <c r="C30" s="36">
        <f t="shared" ca="1" si="1"/>
        <v>30</v>
      </c>
      <c r="D30" s="32">
        <f t="shared" si="5"/>
        <v>379166.6666666668</v>
      </c>
      <c r="E30" s="29">
        <f t="shared" ca="1" si="2"/>
        <v>33562.522831050228</v>
      </c>
      <c r="F30" s="32">
        <f>IFERROR(IF(A30&gt;$D$9," ",IF(AND(A30&lt;=$D$9,$D$5="Класична"),$D$4/$D$9,IF(AND(A30&lt;$D$9,$D$5="Ануїтет"),#REF!-G30,IF(AND(A30=$D$9,$D$5="Ануїтет"),E30,0))))," ")</f>
        <v>29166.666666666668</v>
      </c>
      <c r="G30" s="32">
        <f t="shared" ca="1" si="3"/>
        <v>2645.8561643835628</v>
      </c>
      <c r="H30" s="32">
        <f>IFERROR(IF(A30&gt;$D$9," ",IF(A30&lt;=$D$9,$D$4*$D$8,0))," ")</f>
        <v>1750</v>
      </c>
      <c r="I30" s="32"/>
      <c r="J30" s="33"/>
      <c r="K30" s="33"/>
      <c r="L30" s="33"/>
      <c r="M30" s="33"/>
      <c r="N30" s="33"/>
      <c r="O30" s="33"/>
      <c r="P30" s="32"/>
      <c r="Q30" s="33"/>
      <c r="R30" s="33"/>
      <c r="S30" s="33"/>
      <c r="T30" s="20"/>
    </row>
    <row r="31" spans="1:20" x14ac:dyDescent="0.25">
      <c r="A31" s="34">
        <f t="shared" si="4"/>
        <v>13</v>
      </c>
      <c r="B31" s="35">
        <f ca="1">IFERROR(IF(A31&gt;$D$9," ",DATE(YEAR(B30),MONTH(B30)+1,$F$1))," ")</f>
        <v>45871</v>
      </c>
      <c r="C31" s="36">
        <f t="shared" ca="1" si="1"/>
        <v>31</v>
      </c>
      <c r="D31" s="32">
        <f t="shared" si="5"/>
        <v>350000.00000000012</v>
      </c>
      <c r="E31" s="29">
        <f ca="1">IFERROR(F31+G31+H31," ")</f>
        <v>33440.406392694065</v>
      </c>
      <c r="F31" s="32">
        <f>IFERROR(IF(A31&gt;$D$9," ",IF(AND(A31&lt;=$D$9,$D$5="Класична"),$D$4/$D$9,IF(AND(A31&lt;$D$9,$D$5="Ануїтет"),#REF!-G31,IF(AND(A31=$D$9,$D$5="Ануїтет"),E31,0))))," ")</f>
        <v>29166.666666666668</v>
      </c>
      <c r="G31" s="32">
        <f t="shared" ca="1" si="3"/>
        <v>2523.7397260273983</v>
      </c>
      <c r="H31" s="32">
        <f>IFERROR(IF(A31&gt;$D$9," ",IF(A31&lt;=$D$9,$D$4*$D$8,0))," ")</f>
        <v>1750</v>
      </c>
      <c r="I31" s="32"/>
      <c r="J31" s="33"/>
      <c r="K31" s="33"/>
      <c r="L31" s="33"/>
      <c r="M31" s="33"/>
      <c r="N31" s="33"/>
      <c r="O31" s="33"/>
      <c r="P31" s="32">
        <f>IF(D31=" "," ",P18)</f>
        <v>60000</v>
      </c>
      <c r="Q31" s="33"/>
      <c r="R31" s="33"/>
      <c r="S31" s="33"/>
      <c r="T31" s="20"/>
    </row>
    <row r="32" spans="1:20" x14ac:dyDescent="0.25">
      <c r="A32" s="34">
        <f t="shared" si="4"/>
        <v>14</v>
      </c>
      <c r="B32" s="35">
        <f t="shared" ca="1" si="0"/>
        <v>45902</v>
      </c>
      <c r="C32" s="36">
        <f t="shared" ca="1" si="1"/>
        <v>31</v>
      </c>
      <c r="D32" s="32">
        <f t="shared" si="5"/>
        <v>320833.33333333343</v>
      </c>
      <c r="E32" s="29">
        <f t="shared" ca="1" si="2"/>
        <v>33230.09474885845</v>
      </c>
      <c r="F32" s="32">
        <f>IFERROR(IF(A32&gt;$D$9," ",IF(AND(A32&lt;=$D$9,$D$5="Класична"),$D$4/$D$9,IF(AND(A32&lt;$D$9,$D$5="Ануїтет"),#REF!-G32,IF(AND(A32=$D$9,$D$5="Ануїтет"),E32,0))))," ")</f>
        <v>29166.666666666668</v>
      </c>
      <c r="G32" s="32">
        <f t="shared" ca="1" si="3"/>
        <v>2313.4280821917814</v>
      </c>
      <c r="H32" s="32">
        <f>IFERROR(IF(A32&gt;$D$9," ",IF(A32&lt;=$D$9,$D$4*$D$8,0))," ")</f>
        <v>1750</v>
      </c>
      <c r="I32" s="32"/>
      <c r="J32" s="33"/>
      <c r="K32" s="33"/>
      <c r="L32" s="33"/>
      <c r="M32" s="33"/>
      <c r="N32" s="33"/>
      <c r="O32" s="33"/>
      <c r="P32" s="32"/>
      <c r="Q32" s="33"/>
      <c r="R32" s="33"/>
      <c r="S32" s="33"/>
      <c r="T32" s="20"/>
    </row>
    <row r="33" spans="1:20" x14ac:dyDescent="0.25">
      <c r="A33" s="34">
        <f t="shared" si="4"/>
        <v>15</v>
      </c>
      <c r="B33" s="35">
        <f t="shared" ca="1" si="0"/>
        <v>45932</v>
      </c>
      <c r="C33" s="36">
        <f t="shared" ca="1" si="1"/>
        <v>30</v>
      </c>
      <c r="D33" s="32">
        <f t="shared" si="5"/>
        <v>291666.66666666674</v>
      </c>
      <c r="E33" s="29">
        <f t="shared" ca="1" si="2"/>
        <v>32951.940639269407</v>
      </c>
      <c r="F33" s="32">
        <f>IFERROR(IF(A33&gt;$D$9," ",IF(AND(A33&lt;=$D$9,$D$5="Класична"),$D$4/$D$9,IF(AND(A33&lt;$D$9,$D$5="Ануїтет"),#REF!-G33,IF(AND(A33=$D$9,$D$5="Ануїтет"),E33,0))))," ")</f>
        <v>29166.666666666668</v>
      </c>
      <c r="G33" s="32">
        <f t="shared" ca="1" si="3"/>
        <v>2035.2739726027403</v>
      </c>
      <c r="H33" s="32">
        <f>IFERROR(IF(A33&gt;$D$9," ",IF(A33&lt;=$D$9,$D$4*$D$8,0))," ")</f>
        <v>1750</v>
      </c>
      <c r="I33" s="32"/>
      <c r="J33" s="33"/>
      <c r="K33" s="33"/>
      <c r="L33" s="33"/>
      <c r="M33" s="33"/>
      <c r="N33" s="33"/>
      <c r="O33" s="33"/>
      <c r="P33" s="32"/>
      <c r="Q33" s="33"/>
      <c r="R33" s="33"/>
      <c r="S33" s="33"/>
      <c r="T33" s="20"/>
    </row>
    <row r="34" spans="1:20" ht="15.75" customHeight="1" x14ac:dyDescent="0.25">
      <c r="A34" s="34">
        <f t="shared" si="4"/>
        <v>16</v>
      </c>
      <c r="B34" s="35">
        <f t="shared" ca="1" si="0"/>
        <v>45963</v>
      </c>
      <c r="C34" s="36">
        <f t="shared" ca="1" si="1"/>
        <v>31</v>
      </c>
      <c r="D34" s="32">
        <f t="shared" si="5"/>
        <v>262500.00000000006</v>
      </c>
      <c r="E34" s="29">
        <f t="shared" ca="1" si="2"/>
        <v>32809.471461187219</v>
      </c>
      <c r="F34" s="32">
        <f>IFERROR(IF(A34&gt;$D$9," ",IF(AND(A34&lt;=$D$9,$D$5="Класична"),$D$4/$D$9,IF(AND(A34&lt;$D$9,$D$5="Ануїтет"),#REF!-G34,IF(AND(A34=$D$9,$D$5="Ануїтет"),E34,0))))," ")</f>
        <v>29166.666666666668</v>
      </c>
      <c r="G34" s="32">
        <f t="shared" ca="1" si="3"/>
        <v>1892.8047945205485</v>
      </c>
      <c r="H34" s="32">
        <f>IFERROR(IF(A34&gt;$D$9," ",IF(A34&lt;=$D$9,$D$4*$D$8,0))," ")</f>
        <v>1750</v>
      </c>
      <c r="I34" s="32"/>
      <c r="J34" s="33"/>
      <c r="K34" s="33"/>
      <c r="L34" s="33"/>
      <c r="M34" s="33"/>
      <c r="N34" s="33"/>
      <c r="O34" s="33"/>
      <c r="P34" s="32"/>
      <c r="Q34" s="33"/>
      <c r="R34" s="33"/>
      <c r="S34" s="33"/>
      <c r="T34" s="20"/>
    </row>
    <row r="35" spans="1:20" x14ac:dyDescent="0.25">
      <c r="A35" s="34">
        <f t="shared" si="4"/>
        <v>17</v>
      </c>
      <c r="B35" s="35">
        <f t="shared" ca="1" si="0"/>
        <v>45993</v>
      </c>
      <c r="C35" s="36">
        <f t="shared" ca="1" si="1"/>
        <v>30</v>
      </c>
      <c r="D35" s="32">
        <f t="shared" si="5"/>
        <v>233333.3333333334</v>
      </c>
      <c r="E35" s="29">
        <f t="shared" ca="1" si="2"/>
        <v>32544.88584474886</v>
      </c>
      <c r="F35" s="32">
        <f>IFERROR(IF(A35&gt;$D$9," ",IF(AND(A35&lt;=$D$9,$D$5="Класична"),$D$4/$D$9,IF(AND(A35&lt;$D$9,$D$5="Ануїтет"),#REF!-G35,IF(AND(A35=$D$9,$D$5="Ануїтет"),E35,0))))," ")</f>
        <v>29166.666666666668</v>
      </c>
      <c r="G35" s="32">
        <f t="shared" ca="1" si="3"/>
        <v>1628.2191780821925</v>
      </c>
      <c r="H35" s="32">
        <f>IFERROR(IF(A35&gt;$D$9," ",IF(A35&lt;=$D$9,$D$4*$D$8,0))," ")</f>
        <v>1750</v>
      </c>
      <c r="I35" s="32"/>
      <c r="J35" s="33"/>
      <c r="K35" s="33"/>
      <c r="L35" s="33"/>
      <c r="M35" s="33"/>
      <c r="N35" s="33"/>
      <c r="O35" s="33"/>
      <c r="P35" s="32"/>
      <c r="Q35" s="33"/>
      <c r="R35" s="33"/>
      <c r="S35" s="33"/>
      <c r="T35" s="20"/>
    </row>
    <row r="36" spans="1:20" x14ac:dyDescent="0.25">
      <c r="A36" s="34">
        <f t="shared" si="4"/>
        <v>18</v>
      </c>
      <c r="B36" s="35">
        <f t="shared" ca="1" si="0"/>
        <v>46024</v>
      </c>
      <c r="C36" s="36">
        <f t="shared" ca="1" si="1"/>
        <v>31</v>
      </c>
      <c r="D36" s="32">
        <f t="shared" si="5"/>
        <v>204166.66666666674</v>
      </c>
      <c r="E36" s="29">
        <f t="shared" ca="1" si="2"/>
        <v>32388.848173515984</v>
      </c>
      <c r="F36" s="32">
        <f>IFERROR(IF(A36&gt;$D$9," ",IF(AND(A36&lt;=$D$9,$D$5="Класична"),$D$4/$D$9,IF(AND(A36&lt;$D$9,$D$5="Ануїтет"),#REF!-G36,IF(AND(A36=$D$9,$D$5="Ануїтет"),E36,0))))," ")</f>
        <v>29166.666666666668</v>
      </c>
      <c r="G36" s="32">
        <f t="shared" ca="1" si="3"/>
        <v>1472.1815068493156</v>
      </c>
      <c r="H36" s="32">
        <f>IFERROR(IF(A36&gt;$D$9," ",IF(A36&lt;=$D$9,$D$4*$D$8,0))," ")</f>
        <v>1750</v>
      </c>
      <c r="I36" s="32"/>
      <c r="J36" s="33"/>
      <c r="K36" s="33"/>
      <c r="L36" s="33"/>
      <c r="M36" s="33"/>
      <c r="N36" s="33"/>
      <c r="O36" s="33"/>
      <c r="P36" s="32"/>
      <c r="Q36" s="33"/>
      <c r="R36" s="33"/>
      <c r="S36" s="33"/>
      <c r="T36" s="20"/>
    </row>
    <row r="37" spans="1:20" x14ac:dyDescent="0.25">
      <c r="A37" s="34">
        <f t="shared" si="4"/>
        <v>19</v>
      </c>
      <c r="B37" s="35">
        <f t="shared" ca="1" si="0"/>
        <v>46055</v>
      </c>
      <c r="C37" s="36">
        <f t="shared" ca="1" si="1"/>
        <v>31</v>
      </c>
      <c r="D37" s="32">
        <f t="shared" si="5"/>
        <v>175000.00000000009</v>
      </c>
      <c r="E37" s="29">
        <f t="shared" ca="1" si="2"/>
        <v>32178.536529680368</v>
      </c>
      <c r="F37" s="32">
        <f>IFERROR(IF(A37&gt;$D$9," ",IF(AND(A37&lt;=$D$9,$D$5="Класична"),$D$4/$D$9,IF(AND(A37&lt;$D$9,$D$5="Ануїтет"),#REF!-G37,IF(AND(A37=$D$9,$D$5="Ануїтет"),E37,0))))," ")</f>
        <v>29166.666666666668</v>
      </c>
      <c r="G37" s="32">
        <f t="shared" ca="1" si="3"/>
        <v>1261.8698630136992</v>
      </c>
      <c r="H37" s="32">
        <f>IFERROR(IF(A37&gt;$D$9," ",IF(A37&lt;=$D$9,$D$4*$D$8,0))," ")</f>
        <v>1750</v>
      </c>
      <c r="I37" s="32"/>
      <c r="J37" s="33"/>
      <c r="K37" s="33"/>
      <c r="L37" s="33"/>
      <c r="M37" s="33"/>
      <c r="N37" s="33"/>
      <c r="O37" s="33"/>
      <c r="P37" s="32"/>
      <c r="Q37" s="33"/>
      <c r="R37" s="33"/>
      <c r="S37" s="33"/>
      <c r="T37" s="20"/>
    </row>
    <row r="38" spans="1:20" x14ac:dyDescent="0.25">
      <c r="A38" s="34">
        <f t="shared" si="4"/>
        <v>20</v>
      </c>
      <c r="B38" s="35">
        <f t="shared" ca="1" si="0"/>
        <v>46083</v>
      </c>
      <c r="C38" s="36">
        <f t="shared" ca="1" si="1"/>
        <v>28</v>
      </c>
      <c r="D38" s="32">
        <f t="shared" si="5"/>
        <v>145833.33333333343</v>
      </c>
      <c r="E38" s="29">
        <f t="shared" ca="1" si="2"/>
        <v>31866.461187214612</v>
      </c>
      <c r="F38" s="32">
        <f>IFERROR(IF(A38&gt;$D$9," ",IF(AND(A38&lt;=$D$9,$D$5="Класична"),$D$4/$D$9,IF(AND(A38&lt;$D$9,$D$5="Ануїтет"),#REF!-G38,IF(AND(A38=$D$9,$D$5="Ануїтет"),E38,0))))," ")</f>
        <v>29166.666666666668</v>
      </c>
      <c r="G38" s="32">
        <f t="shared" ca="1" si="3"/>
        <v>949.79452054794581</v>
      </c>
      <c r="H38" s="32">
        <f>IFERROR(IF(A38&gt;$D$9," ",IF(A38&lt;=$D$9,$D$4*$D$8,0))," ")</f>
        <v>1750</v>
      </c>
      <c r="I38" s="32"/>
      <c r="J38" s="33"/>
      <c r="K38" s="33"/>
      <c r="L38" s="33"/>
      <c r="M38" s="33"/>
      <c r="N38" s="33"/>
      <c r="O38" s="33"/>
      <c r="P38" s="32"/>
      <c r="Q38" s="33"/>
      <c r="R38" s="33"/>
      <c r="S38" s="33"/>
      <c r="T38" s="20"/>
    </row>
    <row r="39" spans="1:20" x14ac:dyDescent="0.25">
      <c r="A39" s="34">
        <f t="shared" si="4"/>
        <v>21</v>
      </c>
      <c r="B39" s="35">
        <f t="shared" ca="1" si="0"/>
        <v>46114</v>
      </c>
      <c r="C39" s="36">
        <f t="shared" ca="1" si="1"/>
        <v>31</v>
      </c>
      <c r="D39" s="32">
        <f t="shared" si="5"/>
        <v>116666.66666666676</v>
      </c>
      <c r="E39" s="29">
        <f t="shared" ca="1" si="2"/>
        <v>31757.913242009134</v>
      </c>
      <c r="F39" s="32">
        <f>IFERROR(IF(A39&gt;$D$9," ",IF(AND(A39&lt;=$D$9,$D$5="Класична"),$D$4/$D$9,IF(AND(A39&lt;$D$9,$D$5="Ануїтет"),#REF!-G39,IF(AND(A39=$D$9,$D$5="Ануїтет"),E39,0))))," ")</f>
        <v>29166.666666666668</v>
      </c>
      <c r="G39" s="32">
        <f t="shared" ca="1" si="3"/>
        <v>841.24657534246637</v>
      </c>
      <c r="H39" s="32">
        <f>IFERROR(IF(A39&gt;$D$9," ",IF(A39&lt;=$D$9,$D$4*$D$8,0))," ")</f>
        <v>1750</v>
      </c>
      <c r="I39" s="32"/>
      <c r="J39" s="33"/>
      <c r="K39" s="33"/>
      <c r="L39" s="33"/>
      <c r="M39" s="33"/>
      <c r="N39" s="33"/>
      <c r="O39" s="33"/>
      <c r="P39" s="32"/>
      <c r="Q39" s="33"/>
      <c r="R39" s="33"/>
      <c r="S39" s="33"/>
      <c r="T39" s="20"/>
    </row>
    <row r="40" spans="1:20" x14ac:dyDescent="0.25">
      <c r="A40" s="34">
        <f t="shared" si="4"/>
        <v>22</v>
      </c>
      <c r="B40" s="35">
        <f t="shared" ca="1" si="0"/>
        <v>46144</v>
      </c>
      <c r="C40" s="36">
        <f t="shared" ca="1" si="1"/>
        <v>30</v>
      </c>
      <c r="D40" s="32">
        <f t="shared" si="5"/>
        <v>87500.000000000087</v>
      </c>
      <c r="E40" s="29">
        <f t="shared" ca="1" si="2"/>
        <v>31527.248858447492</v>
      </c>
      <c r="F40" s="32">
        <f>IFERROR(IF(A40&gt;$D$9," ",IF(AND(A40&lt;=$D$9,$D$5="Класична"),$D$4/$D$9,IF(AND(A40&lt;$D$9,$D$5="Ануїтет"),#REF!-G40,IF(AND(A40=$D$9,$D$5="Ануїтет"),E40,0))))," ")</f>
        <v>29166.666666666668</v>
      </c>
      <c r="G40" s="32">
        <f t="shared" ca="1" si="3"/>
        <v>610.58219178082254</v>
      </c>
      <c r="H40" s="32">
        <f>IFERROR(IF(A40&gt;$D$9," ",IF(A40&lt;=$D$9,$D$4*$D$8,0))," ")</f>
        <v>1750</v>
      </c>
      <c r="I40" s="32"/>
      <c r="J40" s="33"/>
      <c r="K40" s="33"/>
      <c r="L40" s="33"/>
      <c r="M40" s="33"/>
      <c r="N40" s="33"/>
      <c r="O40" s="33"/>
      <c r="P40" s="32"/>
      <c r="Q40" s="33"/>
      <c r="R40" s="33"/>
      <c r="S40" s="33"/>
      <c r="T40" s="20"/>
    </row>
    <row r="41" spans="1:20" x14ac:dyDescent="0.25">
      <c r="A41" s="34">
        <f t="shared" si="4"/>
        <v>23</v>
      </c>
      <c r="B41" s="35">
        <f t="shared" ca="1" si="0"/>
        <v>46175</v>
      </c>
      <c r="C41" s="36">
        <f t="shared" ca="1" si="1"/>
        <v>31</v>
      </c>
      <c r="D41" s="32">
        <f t="shared" si="5"/>
        <v>58333.333333333416</v>
      </c>
      <c r="E41" s="29">
        <f t="shared" ca="1" si="2"/>
        <v>31337.289954337903</v>
      </c>
      <c r="F41" s="32">
        <f>IFERROR(IF(A41&gt;$D$9," ",IF(AND(A41&lt;=$D$9,$D$5="Класична"),$D$4/$D$9,IF(AND(A41&lt;$D$9,$D$5="Ануїтет"),#REF!-G41,IF(AND(A41=$D$9,$D$5="Ануїтет"),E41,0))))," ")</f>
        <v>29166.666666666668</v>
      </c>
      <c r="G41" s="32">
        <f t="shared" ca="1" si="3"/>
        <v>420.62328767123341</v>
      </c>
      <c r="H41" s="32">
        <f>IFERROR(IF(A41&gt;$D$9," ",IF(A41&lt;=$D$9,$D$4*$D$8,0))," ")</f>
        <v>1750</v>
      </c>
      <c r="I41" s="32"/>
      <c r="J41" s="33"/>
      <c r="K41" s="33"/>
      <c r="L41" s="33"/>
      <c r="M41" s="33"/>
      <c r="N41" s="33"/>
      <c r="O41" s="33"/>
      <c r="P41" s="32"/>
      <c r="Q41" s="33"/>
      <c r="R41" s="33"/>
      <c r="S41" s="33"/>
      <c r="T41" s="20"/>
    </row>
    <row r="42" spans="1:20" x14ac:dyDescent="0.25">
      <c r="A42" s="34">
        <f t="shared" si="4"/>
        <v>24</v>
      </c>
      <c r="B42" s="35">
        <f t="shared" ca="1" si="0"/>
        <v>46205</v>
      </c>
      <c r="C42" s="36">
        <f t="shared" ca="1" si="1"/>
        <v>30</v>
      </c>
      <c r="D42" s="32">
        <f t="shared" si="5"/>
        <v>29166.666666666748</v>
      </c>
      <c r="E42" s="29">
        <f t="shared" ca="1" si="2"/>
        <v>31120.194063926941</v>
      </c>
      <c r="F42" s="32">
        <f>IFERROR(IF(A42&gt;$D$9," ",IF(AND(A42&lt;=$D$9,$D$5="Класична"),$D$4/$D$9,IF(AND(A42&lt;$D$9,$D$5="Ануїтет"),#REF!-G42,IF(AND(A42=$D$9,$D$5="Ануїтет"),E42,0))))," ")</f>
        <v>29166.666666666668</v>
      </c>
      <c r="G42" s="32">
        <f t="shared" ca="1" si="3"/>
        <v>203.52739726027454</v>
      </c>
      <c r="H42" s="32">
        <f>IFERROR(IF(A42&gt;$D$9," ",IF(A42&lt;=$D$9,$D$4*$D$8,0))," ")</f>
        <v>1750</v>
      </c>
      <c r="I42" s="32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20"/>
    </row>
    <row r="43" spans="1:20" x14ac:dyDescent="0.25">
      <c r="A43" s="21"/>
      <c r="B43" s="22"/>
      <c r="C43" s="23"/>
      <c r="D43" s="23"/>
      <c r="E43" s="37">
        <f ca="1">SUM(E19:E42)</f>
        <v>804021.58219178079</v>
      </c>
      <c r="F43" s="37">
        <f t="shared" ref="F43:H43" si="6">SUM(F19:F42)</f>
        <v>699999.99999999988</v>
      </c>
      <c r="G43" s="37">
        <f t="shared" ca="1" si="6"/>
        <v>62021.58219178085</v>
      </c>
      <c r="H43" s="37">
        <f>SUM(H18:H42)</f>
        <v>42000</v>
      </c>
      <c r="I43" s="37">
        <f>SUM(I18:I42)</f>
        <v>0</v>
      </c>
      <c r="J43" s="37">
        <f t="shared" ref="F43:Q43" si="7">SUM(J18:J42)</f>
        <v>17430</v>
      </c>
      <c r="K43" s="37">
        <f t="shared" si="7"/>
        <v>0</v>
      </c>
      <c r="L43" s="37">
        <f t="shared" si="7"/>
        <v>0</v>
      </c>
      <c r="M43" s="37">
        <f t="shared" si="7"/>
        <v>0</v>
      </c>
      <c r="N43" s="37">
        <f t="shared" si="7"/>
        <v>0</v>
      </c>
      <c r="O43" s="37">
        <f t="shared" si="7"/>
        <v>0</v>
      </c>
      <c r="P43" s="37">
        <f t="shared" si="7"/>
        <v>120000</v>
      </c>
      <c r="Q43" s="37">
        <f t="shared" si="7"/>
        <v>0</v>
      </c>
      <c r="R43" s="38">
        <f ca="1">IF(D9=12,XIRR(E18:E30,B18:B30),XIRR(E18:E42,B18:B42))</f>
        <v>0.29975011944770813</v>
      </c>
      <c r="S43" s="37">
        <f ca="1">SUM(F43:Q43)</f>
        <v>941451.58219178068</v>
      </c>
    </row>
    <row r="44" spans="1:20" x14ac:dyDescent="0.25">
      <c r="A44" s="11"/>
      <c r="B44" s="12"/>
      <c r="D44" s="1"/>
      <c r="E44" s="1"/>
      <c r="F44" s="1"/>
      <c r="G44" s="1"/>
    </row>
    <row r="45" spans="1:20" x14ac:dyDescent="0.25">
      <c r="A45" s="11"/>
      <c r="B45" s="12"/>
      <c r="D45" s="1"/>
      <c r="E45" s="1"/>
      <c r="F45" s="1"/>
      <c r="G45" s="1"/>
    </row>
    <row r="46" spans="1:20" x14ac:dyDescent="0.25">
      <c r="A46" s="11"/>
      <c r="B46" s="12"/>
      <c r="D46" s="1"/>
      <c r="E46" s="1"/>
      <c r="F46" s="1"/>
      <c r="G46" s="1"/>
    </row>
    <row r="47" spans="1:20" x14ac:dyDescent="0.25">
      <c r="A47" s="11"/>
      <c r="B47" s="12"/>
      <c r="D47" s="1"/>
      <c r="E47" s="1"/>
      <c r="F47" s="1"/>
      <c r="G47" s="1"/>
    </row>
    <row r="48" spans="1:20" x14ac:dyDescent="0.25">
      <c r="A48" s="11"/>
      <c r="B48" s="12"/>
      <c r="D48" s="1"/>
      <c r="E48" s="1"/>
      <c r="F48" s="1"/>
      <c r="G48" s="1"/>
    </row>
    <row r="49" spans="1:7" x14ac:dyDescent="0.25">
      <c r="A49" s="11"/>
      <c r="B49" s="12"/>
      <c r="D49" s="1"/>
      <c r="E49" s="1"/>
      <c r="F49" s="1"/>
      <c r="G49" s="1"/>
    </row>
    <row r="50" spans="1:7" x14ac:dyDescent="0.25">
      <c r="A50" s="11"/>
      <c r="B50" s="12"/>
      <c r="D50" s="1"/>
      <c r="E50" s="1"/>
      <c r="F50" s="1"/>
      <c r="G50" s="1"/>
    </row>
    <row r="51" spans="1:7" x14ac:dyDescent="0.25">
      <c r="A51" s="11"/>
      <c r="B51" s="12"/>
      <c r="D51" s="1"/>
      <c r="E51" s="1"/>
      <c r="F51" s="1"/>
      <c r="G51" s="1"/>
    </row>
    <row r="52" spans="1:7" x14ac:dyDescent="0.25">
      <c r="A52" s="11"/>
      <c r="B52" s="12"/>
      <c r="D52" s="1"/>
      <c r="E52" s="1"/>
      <c r="F52" s="1"/>
      <c r="G52" s="1"/>
    </row>
    <row r="53" spans="1:7" x14ac:dyDescent="0.25">
      <c r="A53" s="11"/>
      <c r="B53" s="12"/>
      <c r="D53" s="1"/>
      <c r="E53" s="1"/>
      <c r="F53" s="1"/>
      <c r="G53" s="1"/>
    </row>
    <row r="54" spans="1:7" x14ac:dyDescent="0.25">
      <c r="A54" s="11"/>
      <c r="B54" s="12"/>
      <c r="D54" s="1"/>
      <c r="E54" s="1"/>
      <c r="F54" s="1"/>
      <c r="G54" s="1"/>
    </row>
    <row r="55" spans="1:7" x14ac:dyDescent="0.25">
      <c r="A55" s="11"/>
      <c r="B55" s="12"/>
      <c r="D55" s="1"/>
      <c r="E55" s="1"/>
      <c r="F55" s="1"/>
      <c r="G55" s="1"/>
    </row>
    <row r="56" spans="1:7" x14ac:dyDescent="0.25">
      <c r="A56" s="11"/>
      <c r="B56" s="12"/>
      <c r="D56" s="1"/>
      <c r="E56" s="1"/>
      <c r="F56" s="1"/>
      <c r="G56" s="1"/>
    </row>
    <row r="57" spans="1:7" x14ac:dyDescent="0.25">
      <c r="A57" s="11"/>
      <c r="B57" s="12"/>
      <c r="D57" s="1"/>
      <c r="E57" s="1"/>
      <c r="F57" s="1"/>
      <c r="G57" s="1"/>
    </row>
    <row r="58" spans="1:7" x14ac:dyDescent="0.25">
      <c r="A58" s="11"/>
      <c r="B58" s="12"/>
      <c r="D58" s="1"/>
      <c r="E58" s="1"/>
      <c r="F58" s="1"/>
      <c r="G58" s="1"/>
    </row>
    <row r="59" spans="1:7" x14ac:dyDescent="0.25">
      <c r="A59" s="11"/>
      <c r="B59" s="12"/>
      <c r="D59" s="1"/>
      <c r="E59" s="1"/>
      <c r="F59" s="1"/>
      <c r="G59" s="1"/>
    </row>
    <row r="60" spans="1:7" x14ac:dyDescent="0.25">
      <c r="A60" s="11"/>
      <c r="B60" s="12"/>
      <c r="D60" s="1"/>
      <c r="E60" s="1"/>
      <c r="F60" s="1"/>
      <c r="G60" s="1"/>
    </row>
    <row r="61" spans="1:7" x14ac:dyDescent="0.25">
      <c r="A61" s="11"/>
      <c r="B61" s="12"/>
      <c r="D61" s="1"/>
      <c r="E61" s="1"/>
      <c r="F61" s="1"/>
      <c r="G61" s="1"/>
    </row>
    <row r="62" spans="1:7" x14ac:dyDescent="0.25">
      <c r="A62" s="11"/>
      <c r="B62" s="12"/>
      <c r="D62" s="1"/>
      <c r="E62" s="1"/>
      <c r="F62" s="1"/>
      <c r="G62" s="1"/>
    </row>
    <row r="63" spans="1:7" x14ac:dyDescent="0.25">
      <c r="A63" s="11"/>
      <c r="B63" s="12"/>
      <c r="D63" s="1"/>
      <c r="E63" s="1"/>
      <c r="F63" s="1"/>
      <c r="G63" s="1"/>
    </row>
    <row r="64" spans="1:7" x14ac:dyDescent="0.25">
      <c r="A64" s="11"/>
      <c r="B64" s="12"/>
      <c r="D64" s="1"/>
      <c r="E64" s="1"/>
      <c r="F64" s="1"/>
      <c r="G64" s="1"/>
    </row>
    <row r="65" spans="1:7" x14ac:dyDescent="0.25">
      <c r="A65" s="11"/>
      <c r="B65" s="12"/>
      <c r="D65" s="1"/>
      <c r="E65" s="1"/>
      <c r="F65" s="1"/>
      <c r="G65" s="1"/>
    </row>
    <row r="66" spans="1:7" x14ac:dyDescent="0.25">
      <c r="A66" s="11"/>
      <c r="B66" s="12"/>
      <c r="D66" s="1"/>
      <c r="E66" s="1"/>
      <c r="F66" s="1"/>
      <c r="G66" s="1"/>
    </row>
    <row r="67" spans="1:7" x14ac:dyDescent="0.25">
      <c r="A67" s="11"/>
      <c r="B67" s="12"/>
      <c r="D67" s="1"/>
      <c r="E67" s="1"/>
      <c r="F67" s="1"/>
      <c r="G67" s="1"/>
    </row>
    <row r="68" spans="1:7" x14ac:dyDescent="0.25">
      <c r="A68" s="11"/>
      <c r="B68" s="12"/>
      <c r="D68" s="1"/>
      <c r="E68" s="1"/>
      <c r="F68" s="1"/>
      <c r="G68" s="1"/>
    </row>
    <row r="69" spans="1:7" x14ac:dyDescent="0.25">
      <c r="A69" s="11"/>
      <c r="B69" s="12"/>
      <c r="D69" s="1"/>
      <c r="E69" s="1"/>
      <c r="F69" s="1"/>
      <c r="G69" s="1"/>
    </row>
    <row r="70" spans="1:7" x14ac:dyDescent="0.25">
      <c r="A70" s="11"/>
      <c r="B70" s="12"/>
      <c r="D70" s="1"/>
      <c r="E70" s="1"/>
      <c r="F70" s="1"/>
      <c r="G70" s="1"/>
    </row>
    <row r="71" spans="1:7" x14ac:dyDescent="0.25">
      <c r="A71" s="11"/>
      <c r="B71" s="12"/>
      <c r="D71" s="1"/>
      <c r="E71" s="1"/>
      <c r="F71" s="1"/>
      <c r="G71" s="1"/>
    </row>
    <row r="72" spans="1:7" x14ac:dyDescent="0.25">
      <c r="A72" s="11"/>
      <c r="B72" s="12"/>
      <c r="D72" s="1"/>
      <c r="E72" s="1"/>
      <c r="F72" s="1"/>
      <c r="G72" s="1"/>
    </row>
    <row r="73" spans="1:7" x14ac:dyDescent="0.25">
      <c r="A73" s="11"/>
      <c r="B73" s="12"/>
      <c r="D73" s="1"/>
      <c r="E73" s="1"/>
      <c r="F73" s="1"/>
      <c r="G73" s="1"/>
    </row>
    <row r="74" spans="1:7" x14ac:dyDescent="0.25">
      <c r="A74" s="11"/>
      <c r="B74" s="12"/>
      <c r="D74" s="1"/>
      <c r="E74" s="1"/>
      <c r="F74" s="1"/>
      <c r="G74" s="1"/>
    </row>
    <row r="75" spans="1:7" x14ac:dyDescent="0.25">
      <c r="A75" s="11"/>
      <c r="B75" s="12"/>
      <c r="D75" s="1"/>
      <c r="E75" s="1"/>
      <c r="F75" s="1"/>
      <c r="G75" s="1"/>
    </row>
    <row r="76" spans="1:7" x14ac:dyDescent="0.25">
      <c r="A76" s="11"/>
      <c r="B76" s="12"/>
      <c r="D76" s="1"/>
      <c r="E76" s="1"/>
      <c r="F76" s="1"/>
      <c r="G76" s="1"/>
    </row>
    <row r="77" spans="1:7" x14ac:dyDescent="0.25">
      <c r="A77" s="11"/>
      <c r="B77" s="12"/>
      <c r="D77" s="1"/>
      <c r="E77" s="1"/>
      <c r="F77" s="1"/>
      <c r="G77" s="1"/>
    </row>
    <row r="78" spans="1:7" x14ac:dyDescent="0.25">
      <c r="A78" s="11"/>
      <c r="B78" s="12"/>
      <c r="D78" s="1"/>
      <c r="E78" s="1"/>
      <c r="F78" s="1"/>
      <c r="G78" s="1"/>
    </row>
    <row r="79" spans="1:7" x14ac:dyDescent="0.25">
      <c r="A79" s="11"/>
      <c r="B79" s="11"/>
      <c r="G79" s="1"/>
    </row>
    <row r="80" spans="1:7" x14ac:dyDescent="0.25">
      <c r="A80" s="11"/>
      <c r="B80" s="11"/>
    </row>
    <row r="81" spans="1:23" x14ac:dyDescent="0.25">
      <c r="A81" s="11"/>
      <c r="B81" s="11"/>
    </row>
    <row r="82" spans="1:23" x14ac:dyDescent="0.25">
      <c r="A82" s="11"/>
      <c r="B82" s="11"/>
    </row>
    <row r="83" spans="1:23" x14ac:dyDescent="0.25">
      <c r="A83" s="11"/>
      <c r="B83" s="11"/>
    </row>
    <row r="84" spans="1:23" s="1" customFormat="1" x14ac:dyDescent="0.25">
      <c r="A84" s="11"/>
      <c r="B84" s="1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s="1" customFormat="1" x14ac:dyDescent="0.25">
      <c r="A85" s="11"/>
      <c r="B85" s="1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s="1" customFormat="1" x14ac:dyDescent="0.25">
      <c r="A86" s="11"/>
      <c r="B86" s="1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s="1" customFormat="1" x14ac:dyDescent="0.25">
      <c r="A87" s="11"/>
      <c r="B87" s="1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s="1" customFormat="1" x14ac:dyDescent="0.25">
      <c r="A88" s="11"/>
      <c r="B88" s="1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s="1" customFormat="1" x14ac:dyDescent="0.25">
      <c r="A89" s="11"/>
      <c r="B89" s="1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s="1" customFormat="1" x14ac:dyDescent="0.25">
      <c r="A90" s="11"/>
      <c r="B90" s="1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</sheetData>
  <sheetProtection algorithmName="SHA-512" hashValue="b22obVJwN3OU+MaP58M90ddXLahX8Z+LImfChmo676I4k33ctzE3ULLmH8rGdcoW7369wbIpMT7h3q7rZWpRmA==" saltValue="as4w+lNEq7w6cNOcbjNX1g==" spinCount="100000" sheet="1" objects="1" scenarios="1"/>
  <protectedRanges>
    <protectedRange sqref="D2:D3 D9" name="Диапазон1"/>
  </protectedRanges>
  <mergeCells count="24">
    <mergeCell ref="R13:R16"/>
    <mergeCell ref="S13:S16"/>
    <mergeCell ref="F14:F16"/>
    <mergeCell ref="G14:G16"/>
    <mergeCell ref="H14:Q14"/>
    <mergeCell ref="H15:K15"/>
    <mergeCell ref="L15:M15"/>
    <mergeCell ref="N15:Q15"/>
    <mergeCell ref="A13:A16"/>
    <mergeCell ref="B13:B16"/>
    <mergeCell ref="C13:C16"/>
    <mergeCell ref="E13:E16"/>
    <mergeCell ref="F13:Q13"/>
    <mergeCell ref="D13:D16"/>
    <mergeCell ref="A11:C11"/>
    <mergeCell ref="A7:C7"/>
    <mergeCell ref="A8:C8"/>
    <mergeCell ref="A9:C9"/>
    <mergeCell ref="A1:C1"/>
    <mergeCell ref="A2:C2"/>
    <mergeCell ref="A3:C3"/>
    <mergeCell ref="A4:C4"/>
    <mergeCell ref="A6:C6"/>
    <mergeCell ref="A5:C5"/>
  </mergeCells>
  <dataValidations count="1">
    <dataValidation type="list" allowBlank="1" showInputMessage="1" showErrorMessage="1" sqref="D9">
      <formula1>$G$1:$G$2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Кредит_класична схема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Yaroshenko</dc:creator>
  <cp:lastModifiedBy>Serhii Yaroshenko</cp:lastModifiedBy>
  <dcterms:created xsi:type="dcterms:W3CDTF">2024-02-27T09:33:02Z</dcterms:created>
  <dcterms:modified xsi:type="dcterms:W3CDTF">2024-07-02T14:37:14Z</dcterms:modified>
</cp:coreProperties>
</file>