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Treasury\Yaroshenko\"/>
    </mc:Choice>
  </mc:AlternateContent>
  <bookViews>
    <workbookView xWindow="0" yWindow="0" windowWidth="28800" windowHeight="12210"/>
  </bookViews>
  <sheets>
    <sheet name="Кредит_класична схе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2" l="1"/>
  <c r="D1" i="2" l="1"/>
  <c r="F2" i="2" s="1"/>
  <c r="R21" i="2" l="1"/>
  <c r="Q21" i="2"/>
  <c r="H45" i="2" l="1"/>
  <c r="J45" i="2"/>
  <c r="K45" i="2"/>
  <c r="L45" i="2"/>
  <c r="M45" i="2"/>
  <c r="N45" i="2"/>
  <c r="P45" i="2"/>
  <c r="D6" i="2"/>
  <c r="A22" i="2" l="1"/>
  <c r="D4" i="2"/>
  <c r="E22" i="2" l="1"/>
  <c r="G22" i="2"/>
  <c r="E20" i="2"/>
  <c r="E21" i="2"/>
  <c r="R22" i="2"/>
  <c r="Q22" i="2"/>
  <c r="S21" i="2"/>
  <c r="I20" i="2"/>
  <c r="I45" i="2" s="1"/>
  <c r="B20" i="2"/>
  <c r="A23" i="2"/>
  <c r="E23" i="2" l="1"/>
  <c r="G23" i="2"/>
  <c r="T21" i="2"/>
  <c r="B21" i="2"/>
  <c r="D20" i="2"/>
  <c r="R23" i="2"/>
  <c r="Q23" i="2"/>
  <c r="A24" i="2"/>
  <c r="E24" i="2" l="1"/>
  <c r="G24" i="2"/>
  <c r="B22" i="2"/>
  <c r="B23" i="2" s="1"/>
  <c r="B24" i="2" s="1"/>
  <c r="B25" i="2" s="1"/>
  <c r="C21" i="2"/>
  <c r="T22" i="2"/>
  <c r="R24" i="2"/>
  <c r="Q24" i="2"/>
  <c r="A25" i="2"/>
  <c r="E25" i="2" l="1"/>
  <c r="G25" i="2"/>
  <c r="T23" i="2"/>
  <c r="F21" i="2"/>
  <c r="G21" i="2"/>
  <c r="R25" i="2"/>
  <c r="Q25" i="2"/>
  <c r="S22" i="2"/>
  <c r="C22" i="2"/>
  <c r="T24" i="2"/>
  <c r="A26" i="2"/>
  <c r="B26" i="2" s="1"/>
  <c r="E26" i="2" l="1"/>
  <c r="G26" i="2"/>
  <c r="F22" i="2"/>
  <c r="D22" i="2" s="1"/>
  <c r="D21" i="2"/>
  <c r="C23" i="2"/>
  <c r="Q26" i="2"/>
  <c r="R26" i="2"/>
  <c r="S23" i="2"/>
  <c r="T25" i="2"/>
  <c r="A27" i="2"/>
  <c r="E27" i="2" l="1"/>
  <c r="G27" i="2"/>
  <c r="B27" i="2"/>
  <c r="F23" i="2"/>
  <c r="D23" i="2" s="1"/>
  <c r="C24" i="2"/>
  <c r="Q27" i="2"/>
  <c r="R27" i="2"/>
  <c r="S24" i="2"/>
  <c r="T26" i="2"/>
  <c r="A28" i="2"/>
  <c r="E28" i="2" l="1"/>
  <c r="G28" i="2"/>
  <c r="B28" i="2"/>
  <c r="F24" i="2"/>
  <c r="D24" i="2" s="1"/>
  <c r="C25" i="2"/>
  <c r="R28" i="2"/>
  <c r="Q28" i="2"/>
  <c r="S25" i="2"/>
  <c r="T27" i="2"/>
  <c r="A29" i="2"/>
  <c r="B29" i="2" l="1"/>
  <c r="E29" i="2"/>
  <c r="G29" i="2"/>
  <c r="F25" i="2"/>
  <c r="D25" i="2" s="1"/>
  <c r="C26" i="2"/>
  <c r="Q29" i="2"/>
  <c r="R29" i="2"/>
  <c r="S26" i="2"/>
  <c r="T28" i="2"/>
  <c r="A30" i="2"/>
  <c r="E30" i="2" l="1"/>
  <c r="G30" i="2"/>
  <c r="B30" i="2"/>
  <c r="F26" i="2"/>
  <c r="D26" i="2" s="1"/>
  <c r="C27" i="2"/>
  <c r="R30" i="2"/>
  <c r="Q30" i="2"/>
  <c r="S27" i="2"/>
  <c r="T29" i="2"/>
  <c r="A31" i="2"/>
  <c r="E31" i="2" l="1"/>
  <c r="G31" i="2"/>
  <c r="B31" i="2"/>
  <c r="F27" i="2"/>
  <c r="D27" i="2" s="1"/>
  <c r="C28" i="2"/>
  <c r="Q31" i="2"/>
  <c r="R31" i="2"/>
  <c r="S28" i="2"/>
  <c r="T30" i="2"/>
  <c r="A32" i="2"/>
  <c r="B32" i="2" l="1"/>
  <c r="E32" i="2"/>
  <c r="F28" i="2"/>
  <c r="D28" i="2" s="1"/>
  <c r="C29" i="2"/>
  <c r="Q32" i="2"/>
  <c r="R32" i="2"/>
  <c r="S29" i="2"/>
  <c r="T31" i="2"/>
  <c r="A33" i="2"/>
  <c r="G33" i="2" s="1"/>
  <c r="B33" i="2" l="1"/>
  <c r="F29" i="2"/>
  <c r="D29" i="2" s="1"/>
  <c r="E33" i="2"/>
  <c r="C30" i="2"/>
  <c r="Q33" i="2"/>
  <c r="R33" i="2"/>
  <c r="S30" i="2"/>
  <c r="T32" i="2"/>
  <c r="A34" i="2"/>
  <c r="G34" i="2" s="1"/>
  <c r="B34" i="2" l="1"/>
  <c r="F30" i="2"/>
  <c r="D30" i="2" s="1"/>
  <c r="E34" i="2"/>
  <c r="C31" i="2"/>
  <c r="R34" i="2"/>
  <c r="Q34" i="2"/>
  <c r="S31" i="2"/>
  <c r="T33" i="2"/>
  <c r="A35" i="2"/>
  <c r="G35" i="2" s="1"/>
  <c r="B35" i="2" l="1"/>
  <c r="F31" i="2"/>
  <c r="D31" i="2" s="1"/>
  <c r="E35" i="2"/>
  <c r="T34" i="2"/>
  <c r="R35" i="2"/>
  <c r="Q35" i="2"/>
  <c r="S32" i="2"/>
  <c r="C32" i="2"/>
  <c r="G32" i="2" s="1"/>
  <c r="A36" i="2"/>
  <c r="G36" i="2" s="1"/>
  <c r="B36" i="2" l="1"/>
  <c r="F32" i="2"/>
  <c r="D32" i="2" s="1"/>
  <c r="E36" i="2"/>
  <c r="C33" i="2"/>
  <c r="T35" i="2"/>
  <c r="Q36" i="2"/>
  <c r="R36" i="2"/>
  <c r="S33" i="2"/>
  <c r="A37" i="2"/>
  <c r="G37" i="2" s="1"/>
  <c r="B37" i="2" l="1"/>
  <c r="F33" i="2"/>
  <c r="E37" i="2"/>
  <c r="C34" i="2"/>
  <c r="T36" i="2"/>
  <c r="O33" i="2"/>
  <c r="O45" i="2" s="1"/>
  <c r="R37" i="2"/>
  <c r="Q37" i="2"/>
  <c r="S34" i="2"/>
  <c r="A38" i="2"/>
  <c r="G38" i="2" s="1"/>
  <c r="B38" i="2" l="1"/>
  <c r="F34" i="2"/>
  <c r="D34" i="2" s="1"/>
  <c r="E38" i="2"/>
  <c r="D33" i="2"/>
  <c r="C35" i="2"/>
  <c r="T37" i="2"/>
  <c r="R38" i="2"/>
  <c r="Q38" i="2"/>
  <c r="S35" i="2"/>
  <c r="A39" i="2"/>
  <c r="G39" i="2" s="1"/>
  <c r="B39" i="2" l="1"/>
  <c r="F35" i="2"/>
  <c r="D35" i="2" s="1"/>
  <c r="E39" i="2"/>
  <c r="C36" i="2"/>
  <c r="T38" i="2"/>
  <c r="Q39" i="2"/>
  <c r="R39" i="2"/>
  <c r="S36" i="2"/>
  <c r="A40" i="2"/>
  <c r="G40" i="2" s="1"/>
  <c r="B40" i="2" l="1"/>
  <c r="F36" i="2"/>
  <c r="D36" i="2" s="1"/>
  <c r="E40" i="2"/>
  <c r="C37" i="2"/>
  <c r="T39" i="2"/>
  <c r="R40" i="2"/>
  <c r="Q40" i="2"/>
  <c r="S37" i="2"/>
  <c r="A41" i="2"/>
  <c r="G41" i="2" s="1"/>
  <c r="B41" i="2" l="1"/>
  <c r="F37" i="2"/>
  <c r="D37" i="2" s="1"/>
  <c r="E41" i="2"/>
  <c r="C38" i="2"/>
  <c r="T40" i="2"/>
  <c r="Q41" i="2"/>
  <c r="R41" i="2"/>
  <c r="S38" i="2"/>
  <c r="A42" i="2"/>
  <c r="G42" i="2" s="1"/>
  <c r="B42" i="2" l="1"/>
  <c r="F38" i="2"/>
  <c r="D38" i="2" s="1"/>
  <c r="E42" i="2"/>
  <c r="C39" i="2"/>
  <c r="T41" i="2"/>
  <c r="R42" i="2"/>
  <c r="Q42" i="2"/>
  <c r="S39" i="2"/>
  <c r="A43" i="2"/>
  <c r="G43" i="2" s="1"/>
  <c r="B43" i="2" l="1"/>
  <c r="F39" i="2"/>
  <c r="D39" i="2" s="1"/>
  <c r="E43" i="2"/>
  <c r="C40" i="2"/>
  <c r="T42" i="2"/>
  <c r="Q43" i="2"/>
  <c r="R43" i="2"/>
  <c r="S40" i="2"/>
  <c r="A44" i="2"/>
  <c r="B44" i="2" l="1"/>
  <c r="C44" i="2" s="1"/>
  <c r="G44" i="2" s="1"/>
  <c r="F40" i="2"/>
  <c r="E44" i="2"/>
  <c r="C41" i="2"/>
  <c r="D40" i="2"/>
  <c r="T43" i="2"/>
  <c r="R44" i="2"/>
  <c r="Q44" i="2"/>
  <c r="S41" i="2"/>
  <c r="F41" i="2" l="1"/>
  <c r="D41" i="2" s="1"/>
  <c r="C42" i="2"/>
  <c r="S42" i="2"/>
  <c r="F42" i="2" l="1"/>
  <c r="D42" i="2" s="1"/>
  <c r="T44" i="2"/>
  <c r="C43" i="2"/>
  <c r="S43" i="2"/>
  <c r="F43" i="2" l="1"/>
  <c r="D43" i="2" s="1"/>
  <c r="G45" i="2"/>
  <c r="S44" i="2"/>
  <c r="E45" i="2"/>
  <c r="F44" i="2" l="1"/>
  <c r="D44" i="2" s="1"/>
  <c r="F45" i="2" l="1"/>
  <c r="R45" i="2" s="1"/>
  <c r="Q45" i="2"/>
  <c r="D45" i="2"/>
</calcChain>
</file>

<file path=xl/sharedStrings.xml><?xml version="1.0" encoding="utf-8"?>
<sst xmlns="http://schemas.openxmlformats.org/spreadsheetml/2006/main" count="47" uniqueCount="42">
  <si>
    <t>Строк, місяців</t>
  </si>
  <si>
    <t>Дата видачі</t>
  </si>
  <si>
    <t>Розмір кредиту, грн</t>
  </si>
  <si>
    <t>Відсоткова ставка за кредитом</t>
  </si>
  <si>
    <t>Разова комісія, %</t>
  </si>
  <si>
    <t>Щомісячна комісія,%</t>
  </si>
  <si>
    <t xml:space="preserve">Поля для заповнення виділено зеленим </t>
  </si>
  <si>
    <t>Схема погашення</t>
  </si>
  <si>
    <t>Класична</t>
  </si>
  <si>
    <t>Ануїтет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</si>
  <si>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</si>
  <si>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</si>
  <si>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</si>
  <si>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</si>
  <si>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</si>
  <si>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</si>
  <si>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</si>
  <si>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</si>
  <si>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</si>
  <si>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</si>
  <si>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</si>
  <si>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 xml:space="preserve">кредитного посередника </t>
  </si>
  <si>
    <t>третіх осіб</t>
  </si>
  <si>
    <t>комісія за надання кредиту</t>
  </si>
  <si>
    <t>інші послуги банку</t>
  </si>
  <si>
    <t>комісійний збір</t>
  </si>
  <si>
    <t>інша плата за послуги кредитного посередника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</si>
  <si>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</si>
  <si>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</si>
  <si>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</si>
  <si>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</si>
  <si>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Вартість товару/майна, грн</t>
  </si>
  <si>
    <t>Розмір власного внеску, %</t>
  </si>
  <si>
    <t>Залишок тіла кредиту</t>
  </si>
  <si>
    <t>за обслуговування кредитної заборгова-ності</t>
  </si>
  <si>
    <t>розрахунково-касове обслуго-вування</t>
  </si>
  <si>
    <t>Усього</t>
  </si>
  <si>
    <t>х</t>
  </si>
  <si>
    <t>Розрахунок загальної вартості споживчого кредиту та реальної процентної ставки</t>
  </si>
  <si>
    <t>Вис?</t>
  </si>
  <si>
    <t>Застереження: Наведені обчислення реальної річної процентної ставки та орієнтовної загальної вартості кредиту для споживача носять інформативний характер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обов’язки на умовах та у строки, визначені в договорі. Реальна річна процентна ставка обчислена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 Застереження: використання інших способів надання кредиту та/або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споживача. Орієнтовна реальна річна процентна ставка обчислена з використанням фінансової функції ЧИСТВНДОХ програмного продукту Microsoft Excel.</t>
  </si>
  <si>
    <t>Послуги страховика, % від вартості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</si>
</sst>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4" fontId="5" fillId="2" borderId="1" xfId="0" applyNumberFormat="1" applyFont="1" applyFill="1" applyBorder="1" applyAlignment="1" applyProtection="1">
      <protection hidden="1"/>
    </xf>
    <xf numFmtId="0" fontId="2" fillId="0" borderId="0" xfId="0" applyFont="1" applyAlignment="1" applyProtection="1">
      <protection hidden="1"/>
    </xf>
    <xf numFmtId="9" fontId="5" fillId="2" borderId="1" xfId="1" applyFont="1" applyFill="1" applyBorder="1" applyAlignment="1" applyProtection="1">
      <protection hidden="1"/>
    </xf>
    <xf numFmtId="4" fontId="5" fillId="0" borderId="1" xfId="0" applyNumberFormat="1" applyFont="1" applyBorder="1" applyAlignment="1" applyProtection="1">
      <protection hidden="1"/>
    </xf>
    <xf numFmtId="0" fontId="3" fillId="0" borderId="0" xfId="0" applyFont="1" applyProtection="1">
      <protection hidden="1"/>
    </xf>
    <xf numFmtId="0" fontId="5" fillId="2" borderId="1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1" xfId="0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14" fontId="5" fillId="3" borderId="1" xfId="0" applyNumberFormat="1" applyFont="1" applyFill="1" applyBorder="1" applyProtection="1">
      <protection hidden="1"/>
    </xf>
    <xf numFmtId="4" fontId="5" fillId="3" borderId="1" xfId="0" applyNumberFormat="1" applyFont="1" applyFill="1" applyBorder="1" applyAlignment="1" applyProtection="1">
      <alignment horizontal="right"/>
      <protection hidden="1"/>
    </xf>
    <xf numFmtId="10" fontId="5" fillId="3" borderId="1" xfId="1" applyNumberFormat="1" applyFont="1" applyFill="1" applyBorder="1" applyAlignment="1" applyProtection="1"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14" fontId="6" fillId="0" borderId="5" xfId="0" applyNumberFormat="1" applyFont="1" applyBorder="1" applyAlignment="1" applyProtection="1">
      <alignment horizontal="center" vertical="center"/>
      <protection hidden="1"/>
    </xf>
    <xf numFmtId="4" fontId="6" fillId="0" borderId="5" xfId="0" applyNumberFormat="1" applyFont="1" applyBorder="1" applyAlignment="1" applyProtection="1">
      <alignment horizontal="right" vertical="center" wrapText="1"/>
      <protection hidden="1"/>
    </xf>
    <xf numFmtId="4" fontId="6" fillId="0" borderId="5" xfId="0" applyNumberFormat="1" applyFont="1" applyBorder="1" applyAlignment="1" applyProtection="1">
      <alignment horizontal="right" vertical="center"/>
      <protection hidden="1"/>
    </xf>
    <xf numFmtId="4" fontId="6" fillId="0" borderId="5" xfId="0" applyNumberFormat="1" applyFont="1" applyBorder="1" applyProtection="1">
      <protection hidden="1"/>
    </xf>
    <xf numFmtId="0" fontId="6" fillId="0" borderId="5" xfId="0" applyFont="1" applyBorder="1" applyProtection="1">
      <protection hidden="1"/>
    </xf>
    <xf numFmtId="0" fontId="6" fillId="0" borderId="5" xfId="0" applyFont="1" applyBorder="1" applyAlignment="1" applyProtection="1">
      <alignment horizontal="center"/>
      <protection hidden="1"/>
    </xf>
    <xf numFmtId="14" fontId="6" fillId="0" borderId="5" xfId="0" applyNumberFormat="1" applyFont="1" applyBorder="1" applyAlignment="1" applyProtection="1">
      <alignment horizontal="center"/>
      <protection hidden="1"/>
    </xf>
    <xf numFmtId="3" fontId="6" fillId="0" borderId="5" xfId="0" applyNumberFormat="1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14" fontId="7" fillId="0" borderId="5" xfId="0" applyNumberFormat="1" applyFont="1" applyBorder="1" applyAlignment="1" applyProtection="1">
      <alignment horizontal="center"/>
      <protection hidden="1"/>
    </xf>
    <xf numFmtId="3" fontId="7" fillId="0" borderId="5" xfId="0" applyNumberFormat="1" applyFont="1" applyBorder="1" applyAlignment="1" applyProtection="1">
      <alignment horizontal="center"/>
      <protection hidden="1"/>
    </xf>
    <xf numFmtId="4" fontId="7" fillId="0" borderId="5" xfId="0" applyNumberFormat="1" applyFont="1" applyBorder="1" applyProtection="1">
      <protection hidden="1"/>
    </xf>
    <xf numFmtId="4" fontId="7" fillId="0" borderId="5" xfId="0" applyNumberFormat="1" applyFont="1" applyBorder="1" applyAlignment="1" applyProtection="1">
      <alignment horizontal="right" vertical="center" wrapText="1"/>
      <protection hidden="1"/>
    </xf>
    <xf numFmtId="10" fontId="7" fillId="0" borderId="5" xfId="1" applyNumberFormat="1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4" fontId="9" fillId="0" borderId="0" xfId="0" applyNumberFormat="1" applyFont="1" applyBorder="1" applyAlignment="1" applyProtection="1">
      <alignment horizontal="right" vertical="center" wrapText="1"/>
      <protection hidden="1"/>
    </xf>
    <xf numFmtId="4" fontId="9" fillId="0" borderId="0" xfId="0" applyNumberFormat="1" applyFont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Fill="1" applyProtection="1">
      <protection hidden="1"/>
    </xf>
    <xf numFmtId="10" fontId="5" fillId="2" borderId="1" xfId="1" applyNumberFormat="1" applyFont="1" applyFill="1" applyBorder="1" applyAlignment="1" applyProtection="1"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 wrapText="1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abSelected="1" topLeftCell="A22" zoomScaleNormal="100" workbookViewId="0">
      <selection activeCell="D10" sqref="D10"/>
    </sheetView>
  </sheetViews>
  <sheetFormatPr defaultRowHeight="15.75" x14ac:dyDescent="0.25"/>
  <cols>
    <col min="1" max="1" width="8" style="2" customWidth="1"/>
    <col min="2" max="2" width="17.85546875" style="2" customWidth="1"/>
    <col min="3" max="3" width="14.5703125" style="1" customWidth="1"/>
    <col min="4" max="4" width="17.140625" style="2" customWidth="1"/>
    <col min="5" max="5" width="14.7109375" style="2" customWidth="1"/>
    <col min="6" max="6" width="14.5703125" style="2" customWidth="1"/>
    <col min="7" max="7" width="13.5703125" style="2" customWidth="1"/>
    <col min="8" max="8" width="13.42578125" style="2" customWidth="1"/>
    <col min="9" max="9" width="12.7109375" style="2" customWidth="1"/>
    <col min="10" max="10" width="11.28515625" style="2" customWidth="1"/>
    <col min="11" max="11" width="14.140625" style="2" customWidth="1"/>
    <col min="12" max="12" width="12" style="2" customWidth="1"/>
    <col min="13" max="13" width="12.85546875" style="2" customWidth="1"/>
    <col min="14" max="14" width="10.85546875" style="2" customWidth="1"/>
    <col min="15" max="15" width="11.28515625" style="2" bestFit="1" customWidth="1"/>
    <col min="16" max="16" width="11.7109375" style="2" customWidth="1"/>
    <col min="17" max="17" width="11.28515625" style="2" customWidth="1"/>
    <col min="18" max="18" width="14.28515625" style="2" customWidth="1"/>
    <col min="19" max="19" width="14.5703125" style="2" customWidth="1"/>
    <col min="20" max="16384" width="9.140625" style="2"/>
  </cols>
  <sheetData>
    <row r="1" spans="1:20" x14ac:dyDescent="0.25">
      <c r="A1" s="49" t="s">
        <v>1</v>
      </c>
      <c r="B1" s="49"/>
      <c r="C1" s="49"/>
      <c r="D1" s="15">
        <f ca="1">TODAY()</f>
        <v>45609</v>
      </c>
      <c r="F1" s="43">
        <v>5</v>
      </c>
      <c r="G1" s="13">
        <v>12</v>
      </c>
      <c r="K1" s="13" t="s">
        <v>8</v>
      </c>
    </row>
    <row r="2" spans="1:20" ht="15.75" customHeight="1" x14ac:dyDescent="0.25">
      <c r="A2" s="49" t="s">
        <v>31</v>
      </c>
      <c r="B2" s="49"/>
      <c r="C2" s="49"/>
      <c r="D2" s="3">
        <v>1000000</v>
      </c>
      <c r="E2" s="4"/>
      <c r="F2" s="43">
        <f ca="1">DAY(D1)</f>
        <v>13</v>
      </c>
      <c r="G2" s="13">
        <v>24</v>
      </c>
      <c r="K2" s="13" t="s">
        <v>9</v>
      </c>
    </row>
    <row r="3" spans="1:20" x14ac:dyDescent="0.25">
      <c r="A3" s="49" t="s">
        <v>32</v>
      </c>
      <c r="B3" s="49"/>
      <c r="C3" s="49"/>
      <c r="D3" s="5">
        <v>0.3</v>
      </c>
      <c r="E3" s="4"/>
    </row>
    <row r="4" spans="1:20" x14ac:dyDescent="0.25">
      <c r="A4" s="49" t="s">
        <v>2</v>
      </c>
      <c r="B4" s="49"/>
      <c r="C4" s="49"/>
      <c r="D4" s="6">
        <f>D2*(1-D3)</f>
        <v>700000</v>
      </c>
      <c r="E4" s="4"/>
    </row>
    <row r="5" spans="1:20" x14ac:dyDescent="0.25">
      <c r="A5" s="46" t="s">
        <v>7</v>
      </c>
      <c r="B5" s="47"/>
      <c r="C5" s="48"/>
      <c r="D5" s="16" t="s">
        <v>8</v>
      </c>
      <c r="E5" s="4"/>
    </row>
    <row r="6" spans="1:20" x14ac:dyDescent="0.25">
      <c r="A6" s="49" t="s">
        <v>3</v>
      </c>
      <c r="B6" s="49"/>
      <c r="C6" s="49"/>
      <c r="D6" s="17">
        <f>IF(D10=12,0.0349,0.0849)</f>
        <v>8.4900000000000003E-2</v>
      </c>
      <c r="E6" s="4"/>
    </row>
    <row r="7" spans="1:20" x14ac:dyDescent="0.25">
      <c r="A7" s="49" t="s">
        <v>4</v>
      </c>
      <c r="B7" s="49"/>
      <c r="C7" s="49"/>
      <c r="D7" s="17">
        <v>2.4899999999999999E-2</v>
      </c>
      <c r="E7" s="4"/>
    </row>
    <row r="8" spans="1:20" x14ac:dyDescent="0.25">
      <c r="A8" s="49" t="s">
        <v>5</v>
      </c>
      <c r="B8" s="49"/>
      <c r="C8" s="49"/>
      <c r="D8" s="17">
        <v>2.5000000000000001E-3</v>
      </c>
      <c r="E8" s="4"/>
      <c r="H8" s="7"/>
    </row>
    <row r="9" spans="1:20" x14ac:dyDescent="0.25">
      <c r="A9" s="46" t="s">
        <v>41</v>
      </c>
      <c r="B9" s="47"/>
      <c r="C9" s="48"/>
      <c r="D9" s="44">
        <v>0.06</v>
      </c>
      <c r="E9" s="4"/>
      <c r="H9" s="7"/>
    </row>
    <row r="10" spans="1:20" x14ac:dyDescent="0.25">
      <c r="A10" s="49" t="s">
        <v>0</v>
      </c>
      <c r="B10" s="49"/>
      <c r="C10" s="49"/>
      <c r="D10" s="8">
        <v>24</v>
      </c>
      <c r="E10" s="4"/>
    </row>
    <row r="11" spans="1:20" s="9" customFormat="1" x14ac:dyDescent="0.25">
      <c r="A11" s="2"/>
      <c r="B11" s="2"/>
      <c r="C11" s="1"/>
      <c r="D11" s="2"/>
      <c r="E11" s="2"/>
      <c r="F11" s="2"/>
      <c r="G11" s="2"/>
      <c r="S11" s="34"/>
      <c r="T11" s="34"/>
    </row>
    <row r="12" spans="1:20" s="9" customFormat="1" x14ac:dyDescent="0.25">
      <c r="A12" s="49" t="s">
        <v>6</v>
      </c>
      <c r="B12" s="49"/>
      <c r="C12" s="49"/>
      <c r="D12" s="10"/>
      <c r="E12" s="2"/>
      <c r="F12" s="2"/>
      <c r="G12" s="2"/>
      <c r="S12" s="35"/>
      <c r="T12" s="34"/>
    </row>
    <row r="13" spans="1:20" s="9" customFormat="1" x14ac:dyDescent="0.25">
      <c r="A13" s="33"/>
      <c r="B13" s="33"/>
      <c r="C13" s="33"/>
      <c r="D13" s="2"/>
      <c r="E13" s="2"/>
      <c r="F13" s="2"/>
      <c r="G13" s="2"/>
      <c r="S13" s="35"/>
      <c r="T13" s="34"/>
    </row>
    <row r="14" spans="1:20" s="9" customFormat="1" x14ac:dyDescent="0.25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36"/>
      <c r="T14" s="34"/>
    </row>
    <row r="15" spans="1:20" s="9" customFormat="1" ht="15.75" customHeight="1" x14ac:dyDescent="0.25">
      <c r="A15" s="45" t="s">
        <v>10</v>
      </c>
      <c r="B15" s="45" t="s">
        <v>11</v>
      </c>
      <c r="C15" s="45" t="s">
        <v>12</v>
      </c>
      <c r="D15" s="45" t="s">
        <v>13</v>
      </c>
      <c r="E15" s="45" t="s">
        <v>14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 t="s">
        <v>15</v>
      </c>
      <c r="R15" s="45" t="s">
        <v>16</v>
      </c>
      <c r="S15" s="37"/>
      <c r="T15" s="34"/>
    </row>
    <row r="16" spans="1:20" s="9" customFormat="1" ht="15.75" customHeight="1" x14ac:dyDescent="0.25">
      <c r="A16" s="45"/>
      <c r="B16" s="45"/>
      <c r="C16" s="45"/>
      <c r="D16" s="45"/>
      <c r="E16" s="45" t="s">
        <v>17</v>
      </c>
      <c r="F16" s="45" t="s">
        <v>18</v>
      </c>
      <c r="G16" s="45" t="s">
        <v>19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37"/>
      <c r="T16" s="34"/>
    </row>
    <row r="17" spans="1:20" s="9" customFormat="1" ht="15.75" customHeight="1" x14ac:dyDescent="0.25">
      <c r="A17" s="45"/>
      <c r="B17" s="45"/>
      <c r="C17" s="45"/>
      <c r="D17" s="45"/>
      <c r="E17" s="45"/>
      <c r="F17" s="45"/>
      <c r="G17" s="45" t="s">
        <v>20</v>
      </c>
      <c r="H17" s="45"/>
      <c r="I17" s="45"/>
      <c r="J17" s="45"/>
      <c r="K17" s="45" t="s">
        <v>21</v>
      </c>
      <c r="L17" s="45"/>
      <c r="M17" s="45" t="s">
        <v>22</v>
      </c>
      <c r="N17" s="45"/>
      <c r="O17" s="45"/>
      <c r="P17" s="45"/>
      <c r="Q17" s="45"/>
      <c r="R17" s="45"/>
      <c r="S17" s="37"/>
      <c r="T17" s="34"/>
    </row>
    <row r="18" spans="1:20" s="9" customFormat="1" ht="93" customHeight="1" x14ac:dyDescent="0.25">
      <c r="A18" s="45"/>
      <c r="B18" s="45"/>
      <c r="C18" s="45"/>
      <c r="D18" s="45"/>
      <c r="E18" s="45"/>
      <c r="F18" s="45"/>
      <c r="G18" s="14" t="s">
        <v>34</v>
      </c>
      <c r="H18" s="14" t="s">
        <v>35</v>
      </c>
      <c r="I18" s="14" t="s">
        <v>23</v>
      </c>
      <c r="J18" s="14" t="s">
        <v>24</v>
      </c>
      <c r="K18" s="14" t="s">
        <v>25</v>
      </c>
      <c r="L18" s="14" t="s">
        <v>26</v>
      </c>
      <c r="M18" s="14" t="s">
        <v>27</v>
      </c>
      <c r="N18" s="14" t="s">
        <v>28</v>
      </c>
      <c r="O18" s="14" t="s">
        <v>29</v>
      </c>
      <c r="P18" s="14" t="s">
        <v>30</v>
      </c>
      <c r="Q18" s="45"/>
      <c r="R18" s="45"/>
      <c r="S18" s="37" t="s">
        <v>33</v>
      </c>
      <c r="T18" s="34" t="s">
        <v>39</v>
      </c>
    </row>
    <row r="19" spans="1:20" s="9" customFormat="1" x14ac:dyDescent="0.25">
      <c r="A19" s="14">
        <v>1</v>
      </c>
      <c r="B19" s="14">
        <v>2</v>
      </c>
      <c r="C19" s="14">
        <v>3</v>
      </c>
      <c r="D19" s="14">
        <v>4</v>
      </c>
      <c r="E19" s="14">
        <v>5</v>
      </c>
      <c r="F19" s="14">
        <v>6</v>
      </c>
      <c r="G19" s="14">
        <v>7</v>
      </c>
      <c r="H19" s="14">
        <v>8</v>
      </c>
      <c r="I19" s="14">
        <v>9</v>
      </c>
      <c r="J19" s="14">
        <v>10</v>
      </c>
      <c r="K19" s="14">
        <v>11</v>
      </c>
      <c r="L19" s="14">
        <v>12</v>
      </c>
      <c r="M19" s="14">
        <v>13</v>
      </c>
      <c r="N19" s="14">
        <v>14</v>
      </c>
      <c r="O19" s="14">
        <v>15</v>
      </c>
      <c r="P19" s="14">
        <v>16</v>
      </c>
      <c r="Q19" s="14">
        <v>17</v>
      </c>
      <c r="R19" s="14">
        <v>18</v>
      </c>
      <c r="S19" s="38"/>
      <c r="T19" s="34"/>
    </row>
    <row r="20" spans="1:20" x14ac:dyDescent="0.25">
      <c r="A20" s="18"/>
      <c r="B20" s="19">
        <f ca="1">D1</f>
        <v>45609</v>
      </c>
      <c r="C20" s="19" t="s">
        <v>37</v>
      </c>
      <c r="D20" s="20">
        <f>-E20+I20+H20+J20+K20+L20+M20+N20+O20+P20+G20</f>
        <v>-622570</v>
      </c>
      <c r="E20" s="21">
        <f>$D$4</f>
        <v>700000</v>
      </c>
      <c r="F20" s="18" t="s">
        <v>37</v>
      </c>
      <c r="G20" s="20">
        <v>0</v>
      </c>
      <c r="H20" s="21">
        <v>0</v>
      </c>
      <c r="I20" s="22">
        <f>D4*D7</f>
        <v>17430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f>D2*$D$9</f>
        <v>60000</v>
      </c>
      <c r="P20" s="22">
        <v>0</v>
      </c>
      <c r="Q20" s="24" t="s">
        <v>37</v>
      </c>
      <c r="R20" s="24" t="s">
        <v>37</v>
      </c>
      <c r="S20" s="39"/>
      <c r="T20" s="13"/>
    </row>
    <row r="21" spans="1:20" x14ac:dyDescent="0.25">
      <c r="A21" s="24">
        <v>1</v>
      </c>
      <c r="B21" s="25">
        <f ca="1">IFERROR(IF(A21&gt;$D$10," ",IF(A21=$D$10,DATE(YEAR(B20),MONTH(B20)+1,$F$2),DATE(YEAR(B20),MONTH(B20)+1,$F$1)))," ")</f>
        <v>45631</v>
      </c>
      <c r="C21" s="26">
        <f ca="1">IFERROR(B21-B20," ")</f>
        <v>22</v>
      </c>
      <c r="D21" s="20">
        <f ca="1">SUM(E21:P21)</f>
        <v>33372.786885245907</v>
      </c>
      <c r="E21" s="22">
        <f>IF(AND(A21&lt;=$D$10,$D$5="Класична"),$D$4/$D$10,IF(AND(A21&lt;=$D$10,$D$5="Ануїтет"),D21-F21,0))</f>
        <v>29166.666666666668</v>
      </c>
      <c r="F21" s="22">
        <f ca="1">IFERROR(IF(A21&gt;$D$10," ",(S21*(C21-4)*$D$6)/T21)," ")</f>
        <v>2922.7868852459014</v>
      </c>
      <c r="G21" s="22">
        <f ca="1">D4*D8*C21/30</f>
        <v>1283.3333333333333</v>
      </c>
      <c r="H21" s="22"/>
      <c r="I21" s="23"/>
      <c r="J21" s="23"/>
      <c r="K21" s="23"/>
      <c r="L21" s="23"/>
      <c r="M21" s="23"/>
      <c r="N21" s="23"/>
      <c r="O21" s="22"/>
      <c r="P21" s="23"/>
      <c r="Q21" s="24" t="str">
        <f>IFERROR(IF(A21&gt;$D$10," ","х")," ")</f>
        <v>х</v>
      </c>
      <c r="R21" s="24" t="str">
        <f>IFERROR(IF(A21&gt;$D$10," ","х")," ")</f>
        <v>х</v>
      </c>
      <c r="S21" s="40">
        <f>$D$4</f>
        <v>700000</v>
      </c>
      <c r="T21" s="13">
        <f ca="1">IFERROR(IF(MONTH(DATE(YEAR(B20),2,28)+1)=2,366,365)," ")</f>
        <v>366</v>
      </c>
    </row>
    <row r="22" spans="1:20" ht="15.75" customHeight="1" x14ac:dyDescent="0.25">
      <c r="A22" s="24">
        <f>IFERROR(IF(A21+1&gt;$D$10," ",A21+1)," ")</f>
        <v>2</v>
      </c>
      <c r="B22" s="25">
        <f t="shared" ref="B22:B44" ca="1" si="0">IFERROR(IF(A22&gt;$D$10," ",IF(A22=$D$10,DATE(YEAR(B21),MONTH(B21)+1,$F$2),DATE(YEAR(B21),MONTH(B21)+1,$F$1)))," ")</f>
        <v>45662</v>
      </c>
      <c r="C22" s="26">
        <f t="shared" ref="C22:C43" ca="1" si="1">IFERROR(B22-B21," ")</f>
        <v>31</v>
      </c>
      <c r="D22" s="20">
        <f ca="1">IFERROR(IF(A22&gt;$D$10," ",SUM(E22:P22))," ")</f>
        <v>35767.681010928965</v>
      </c>
      <c r="E22" s="22">
        <f t="shared" ref="E22:E44" si="2">IF(AND(A22&lt;=$D$10,$D$5="Класична"),$D$4/$D$10,IF(AND(A22&lt;=$D$10,$D$5="Ануїтет"),D22-F22," "))</f>
        <v>29166.666666666668</v>
      </c>
      <c r="F22" s="22">
        <f t="shared" ref="F22:F44" ca="1" si="3">IFERROR(IF(A22&gt;$D$10," ",(S21*4*$D$6)/T22+(S22*(C22-4)*$D$6)/T22+IF(A22=$D$10,S22*4*$D$6/T22))," ")</f>
        <v>4851.0143442622957</v>
      </c>
      <c r="G22" s="22">
        <f>IFERROR(IF(A22&gt;$D$10," ",IF(A22&lt;$D$10,$D$4*$D$8,$D$4*$D$8*(C22-1)/30))," ")</f>
        <v>1750</v>
      </c>
      <c r="H22" s="22"/>
      <c r="I22" s="23"/>
      <c r="J22" s="23"/>
      <c r="K22" s="23"/>
      <c r="L22" s="23"/>
      <c r="M22" s="23"/>
      <c r="N22" s="23"/>
      <c r="O22" s="22"/>
      <c r="P22" s="23"/>
      <c r="Q22" s="24" t="str">
        <f t="shared" ref="Q22:Q44" si="4">IFERROR(IF(A22&gt;$D$10," ","х")," ")</f>
        <v>х</v>
      </c>
      <c r="R22" s="24" t="str">
        <f t="shared" ref="R22:R44" si="5">IFERROR(IF(A22&gt;$D$10," ","х")," ")</f>
        <v>х</v>
      </c>
      <c r="S22" s="40">
        <f t="shared" ref="S22:S44" si="6">IFERROR(IF(A22&gt;$D$10," ",S21-E21)," ")</f>
        <v>670833.33333333337</v>
      </c>
      <c r="T22" s="13">
        <f t="shared" ref="T22:T44" ca="1" si="7">IFERROR(IF(MONTH(DATE(YEAR(B21),2,28)+1)=2,366,365)," ")</f>
        <v>366</v>
      </c>
    </row>
    <row r="23" spans="1:20" x14ac:dyDescent="0.25">
      <c r="A23" s="24">
        <f t="shared" ref="A23:A44" si="8">IFERROR(IF(A22+1&gt;$D$10," ",A22+1)," ")</f>
        <v>3</v>
      </c>
      <c r="B23" s="25">
        <f t="shared" ca="1" si="0"/>
        <v>45693</v>
      </c>
      <c r="C23" s="26">
        <f t="shared" ca="1" si="1"/>
        <v>31</v>
      </c>
      <c r="D23" s="20">
        <f t="shared" ref="D23:D44" ca="1" si="9">IFERROR(IF(A23&gt;$D$10," ",SUM(E23:P23))," ")</f>
        <v>35570.659817351603</v>
      </c>
      <c r="E23" s="22">
        <f t="shared" si="2"/>
        <v>29166.666666666668</v>
      </c>
      <c r="F23" s="22">
        <f t="shared" ca="1" si="3"/>
        <v>4653.9931506849334</v>
      </c>
      <c r="G23" s="22">
        <f t="shared" ref="G23:G44" si="10">IFERROR(IF(A23&gt;$D$10," ",IF(A23&lt;$D$10,$D$4*$D$8,$D$4*$D$8*(C23-1)/30))," ")</f>
        <v>1750</v>
      </c>
      <c r="H23" s="22"/>
      <c r="I23" s="23"/>
      <c r="J23" s="23"/>
      <c r="K23" s="23"/>
      <c r="L23" s="23"/>
      <c r="M23" s="23"/>
      <c r="N23" s="23"/>
      <c r="O23" s="22"/>
      <c r="P23" s="23"/>
      <c r="Q23" s="24" t="str">
        <f t="shared" si="4"/>
        <v>х</v>
      </c>
      <c r="R23" s="24" t="str">
        <f t="shared" si="5"/>
        <v>х</v>
      </c>
      <c r="S23" s="40">
        <f t="shared" si="6"/>
        <v>641666.66666666674</v>
      </c>
      <c r="T23" s="13">
        <f t="shared" ca="1" si="7"/>
        <v>365</v>
      </c>
    </row>
    <row r="24" spans="1:20" x14ac:dyDescent="0.25">
      <c r="A24" s="24">
        <f t="shared" si="8"/>
        <v>4</v>
      </c>
      <c r="B24" s="25">
        <f t="shared" ca="1" si="0"/>
        <v>45721</v>
      </c>
      <c r="C24" s="26">
        <f t="shared" ca="1" si="1"/>
        <v>28</v>
      </c>
      <c r="D24" s="20">
        <f t="shared" ca="1" si="9"/>
        <v>34932.940639269407</v>
      </c>
      <c r="E24" s="22">
        <f t="shared" si="2"/>
        <v>29166.666666666668</v>
      </c>
      <c r="F24" s="22">
        <f t="shared" ca="1" si="3"/>
        <v>4016.2739726027412</v>
      </c>
      <c r="G24" s="22">
        <f t="shared" si="10"/>
        <v>1750</v>
      </c>
      <c r="H24" s="22"/>
      <c r="I24" s="23"/>
      <c r="J24" s="23"/>
      <c r="K24" s="23"/>
      <c r="L24" s="23"/>
      <c r="M24" s="23"/>
      <c r="N24" s="23"/>
      <c r="O24" s="22"/>
      <c r="P24" s="23"/>
      <c r="Q24" s="24" t="str">
        <f t="shared" si="4"/>
        <v>х</v>
      </c>
      <c r="R24" s="24" t="str">
        <f t="shared" si="5"/>
        <v>х</v>
      </c>
      <c r="S24" s="40">
        <f t="shared" si="6"/>
        <v>612500.00000000012</v>
      </c>
      <c r="T24" s="13">
        <f t="shared" ca="1" si="7"/>
        <v>365</v>
      </c>
    </row>
    <row r="25" spans="1:20" x14ac:dyDescent="0.25">
      <c r="A25" s="24">
        <f t="shared" si="8"/>
        <v>5</v>
      </c>
      <c r="B25" s="25">
        <f t="shared" ca="1" si="0"/>
        <v>45752</v>
      </c>
      <c r="C25" s="26">
        <f t="shared" ca="1" si="1"/>
        <v>31</v>
      </c>
      <c r="D25" s="20">
        <f t="shared" ca="1" si="9"/>
        <v>35150.036529680365</v>
      </c>
      <c r="E25" s="22">
        <f t="shared" si="2"/>
        <v>29166.666666666668</v>
      </c>
      <c r="F25" s="22">
        <f t="shared" ca="1" si="3"/>
        <v>4233.3698630137005</v>
      </c>
      <c r="G25" s="22">
        <f t="shared" si="10"/>
        <v>1750</v>
      </c>
      <c r="H25" s="22"/>
      <c r="I25" s="23"/>
      <c r="J25" s="23"/>
      <c r="K25" s="23"/>
      <c r="L25" s="23"/>
      <c r="M25" s="23"/>
      <c r="N25" s="23"/>
      <c r="O25" s="22"/>
      <c r="P25" s="23"/>
      <c r="Q25" s="24" t="str">
        <f t="shared" si="4"/>
        <v>х</v>
      </c>
      <c r="R25" s="24" t="str">
        <f t="shared" si="5"/>
        <v>х</v>
      </c>
      <c r="S25" s="40">
        <f t="shared" si="6"/>
        <v>583333.33333333349</v>
      </c>
      <c r="T25" s="13">
        <f t="shared" ca="1" si="7"/>
        <v>365</v>
      </c>
    </row>
    <row r="26" spans="1:20" x14ac:dyDescent="0.25">
      <c r="A26" s="24">
        <f t="shared" si="8"/>
        <v>6</v>
      </c>
      <c r="B26" s="25">
        <f t="shared" ca="1" si="0"/>
        <v>45782</v>
      </c>
      <c r="C26" s="26">
        <f t="shared" ca="1" si="1"/>
        <v>30</v>
      </c>
      <c r="D26" s="20">
        <f t="shared" ca="1" si="9"/>
        <v>34810.824200913245</v>
      </c>
      <c r="E26" s="22">
        <f t="shared" si="2"/>
        <v>29166.666666666668</v>
      </c>
      <c r="F26" s="22">
        <f t="shared" ca="1" si="3"/>
        <v>3894.1575342465767</v>
      </c>
      <c r="G26" s="22">
        <f t="shared" si="10"/>
        <v>1750</v>
      </c>
      <c r="H26" s="22"/>
      <c r="I26" s="23"/>
      <c r="J26" s="23"/>
      <c r="K26" s="23"/>
      <c r="L26" s="23"/>
      <c r="M26" s="23"/>
      <c r="N26" s="23"/>
      <c r="O26" s="22"/>
      <c r="P26" s="23"/>
      <c r="Q26" s="24" t="str">
        <f t="shared" si="4"/>
        <v>х</v>
      </c>
      <c r="R26" s="24" t="str">
        <f t="shared" si="5"/>
        <v>х</v>
      </c>
      <c r="S26" s="40">
        <f t="shared" si="6"/>
        <v>554166.66666666686</v>
      </c>
      <c r="T26" s="13">
        <f t="shared" ca="1" si="7"/>
        <v>365</v>
      </c>
    </row>
    <row r="27" spans="1:20" x14ac:dyDescent="0.25">
      <c r="A27" s="24">
        <f t="shared" si="8"/>
        <v>7</v>
      </c>
      <c r="B27" s="25">
        <f t="shared" ca="1" si="0"/>
        <v>45813</v>
      </c>
      <c r="C27" s="26">
        <f t="shared" ca="1" si="1"/>
        <v>31</v>
      </c>
      <c r="D27" s="20">
        <f t="shared" ca="1" si="9"/>
        <v>34729.413242009134</v>
      </c>
      <c r="E27" s="22">
        <f t="shared" si="2"/>
        <v>29166.666666666668</v>
      </c>
      <c r="F27" s="22">
        <f t="shared" ca="1" si="3"/>
        <v>3812.7465753424672</v>
      </c>
      <c r="G27" s="22">
        <f t="shared" si="10"/>
        <v>1750</v>
      </c>
      <c r="H27" s="22"/>
      <c r="I27" s="23"/>
      <c r="J27" s="23"/>
      <c r="K27" s="23"/>
      <c r="L27" s="23"/>
      <c r="M27" s="23"/>
      <c r="N27" s="23"/>
      <c r="O27" s="22"/>
      <c r="P27" s="23"/>
      <c r="Q27" s="24" t="str">
        <f t="shared" si="4"/>
        <v>х</v>
      </c>
      <c r="R27" s="24" t="str">
        <f t="shared" si="5"/>
        <v>х</v>
      </c>
      <c r="S27" s="40">
        <f t="shared" si="6"/>
        <v>525000.00000000023</v>
      </c>
      <c r="T27" s="13">
        <f t="shared" ca="1" si="7"/>
        <v>365</v>
      </c>
    </row>
    <row r="28" spans="1:20" x14ac:dyDescent="0.25">
      <c r="A28" s="24">
        <f t="shared" si="8"/>
        <v>8</v>
      </c>
      <c r="B28" s="25">
        <f t="shared" ca="1" si="0"/>
        <v>45843</v>
      </c>
      <c r="C28" s="26">
        <f t="shared" ca="1" si="1"/>
        <v>30</v>
      </c>
      <c r="D28" s="20">
        <f t="shared" ca="1" si="9"/>
        <v>34403.769406392697</v>
      </c>
      <c r="E28" s="22">
        <f t="shared" si="2"/>
        <v>29166.666666666668</v>
      </c>
      <c r="F28" s="22">
        <f t="shared" ca="1" si="3"/>
        <v>3487.1027397260286</v>
      </c>
      <c r="G28" s="22">
        <f t="shared" si="10"/>
        <v>1750</v>
      </c>
      <c r="H28" s="22"/>
      <c r="I28" s="23"/>
      <c r="J28" s="23"/>
      <c r="K28" s="23"/>
      <c r="L28" s="23"/>
      <c r="M28" s="23"/>
      <c r="N28" s="23"/>
      <c r="O28" s="22"/>
      <c r="P28" s="23"/>
      <c r="Q28" s="24" t="str">
        <f t="shared" si="4"/>
        <v>х</v>
      </c>
      <c r="R28" s="24" t="str">
        <f t="shared" si="5"/>
        <v>х</v>
      </c>
      <c r="S28" s="40">
        <f t="shared" si="6"/>
        <v>495833.33333333355</v>
      </c>
      <c r="T28" s="13">
        <f t="shared" ca="1" si="7"/>
        <v>365</v>
      </c>
    </row>
    <row r="29" spans="1:20" x14ac:dyDescent="0.25">
      <c r="A29" s="24">
        <f t="shared" si="8"/>
        <v>9</v>
      </c>
      <c r="B29" s="25">
        <f t="shared" ca="1" si="0"/>
        <v>45874</v>
      </c>
      <c r="C29" s="26">
        <f t="shared" ca="1" si="1"/>
        <v>31</v>
      </c>
      <c r="D29" s="20">
        <f t="shared" ca="1" si="9"/>
        <v>34308.789954337903</v>
      </c>
      <c r="E29" s="22">
        <f t="shared" si="2"/>
        <v>29166.666666666668</v>
      </c>
      <c r="F29" s="22">
        <f t="shared" ca="1" si="3"/>
        <v>3392.1232876712343</v>
      </c>
      <c r="G29" s="22">
        <f t="shared" si="10"/>
        <v>1750</v>
      </c>
      <c r="H29" s="22"/>
      <c r="I29" s="23"/>
      <c r="J29" s="23"/>
      <c r="K29" s="23"/>
      <c r="L29" s="23"/>
      <c r="M29" s="23"/>
      <c r="N29" s="23"/>
      <c r="O29" s="22"/>
      <c r="P29" s="23"/>
      <c r="Q29" s="24" t="str">
        <f t="shared" si="4"/>
        <v>х</v>
      </c>
      <c r="R29" s="24" t="str">
        <f t="shared" si="5"/>
        <v>х</v>
      </c>
      <c r="S29" s="40">
        <f t="shared" si="6"/>
        <v>466666.66666666686</v>
      </c>
      <c r="T29" s="13">
        <f t="shared" ca="1" si="7"/>
        <v>365</v>
      </c>
    </row>
    <row r="30" spans="1:20" x14ac:dyDescent="0.25">
      <c r="A30" s="24">
        <f t="shared" si="8"/>
        <v>10</v>
      </c>
      <c r="B30" s="25">
        <f t="shared" ca="1" si="0"/>
        <v>45905</v>
      </c>
      <c r="C30" s="26">
        <f t="shared" ca="1" si="1"/>
        <v>31</v>
      </c>
      <c r="D30" s="20">
        <f t="shared" ca="1" si="9"/>
        <v>34098.478310502287</v>
      </c>
      <c r="E30" s="22">
        <f t="shared" si="2"/>
        <v>29166.666666666668</v>
      </c>
      <c r="F30" s="22">
        <f t="shared" ca="1" si="3"/>
        <v>3181.8116438356183</v>
      </c>
      <c r="G30" s="22">
        <f t="shared" si="10"/>
        <v>1750</v>
      </c>
      <c r="H30" s="22"/>
      <c r="I30" s="23"/>
      <c r="J30" s="23"/>
      <c r="K30" s="23"/>
      <c r="L30" s="23"/>
      <c r="M30" s="23"/>
      <c r="N30" s="23"/>
      <c r="O30" s="22"/>
      <c r="P30" s="23"/>
      <c r="Q30" s="24" t="str">
        <f t="shared" si="4"/>
        <v>х</v>
      </c>
      <c r="R30" s="24" t="str">
        <f t="shared" si="5"/>
        <v>х</v>
      </c>
      <c r="S30" s="40">
        <f t="shared" si="6"/>
        <v>437500.00000000017</v>
      </c>
      <c r="T30" s="13">
        <f t="shared" ca="1" si="7"/>
        <v>365</v>
      </c>
    </row>
    <row r="31" spans="1:20" x14ac:dyDescent="0.25">
      <c r="A31" s="24">
        <f t="shared" si="8"/>
        <v>11</v>
      </c>
      <c r="B31" s="25">
        <f t="shared" ca="1" si="0"/>
        <v>45935</v>
      </c>
      <c r="C31" s="26">
        <f t="shared" ca="1" si="1"/>
        <v>30</v>
      </c>
      <c r="D31" s="20">
        <f t="shared" ca="1" si="9"/>
        <v>33793.187214611877</v>
      </c>
      <c r="E31" s="22">
        <f t="shared" si="2"/>
        <v>29166.666666666668</v>
      </c>
      <c r="F31" s="22">
        <f t="shared" ca="1" si="3"/>
        <v>2876.520547945207</v>
      </c>
      <c r="G31" s="22">
        <f t="shared" si="10"/>
        <v>1750</v>
      </c>
      <c r="H31" s="22"/>
      <c r="I31" s="23"/>
      <c r="J31" s="23"/>
      <c r="K31" s="23"/>
      <c r="L31" s="23"/>
      <c r="M31" s="23"/>
      <c r="N31" s="23"/>
      <c r="O31" s="22"/>
      <c r="P31" s="23"/>
      <c r="Q31" s="24" t="str">
        <f t="shared" si="4"/>
        <v>х</v>
      </c>
      <c r="R31" s="24" t="str">
        <f t="shared" si="5"/>
        <v>х</v>
      </c>
      <c r="S31" s="40">
        <f t="shared" si="6"/>
        <v>408333.33333333349</v>
      </c>
      <c r="T31" s="13">
        <f t="shared" ca="1" si="7"/>
        <v>365</v>
      </c>
    </row>
    <row r="32" spans="1:20" x14ac:dyDescent="0.25">
      <c r="A32" s="24">
        <f t="shared" si="8"/>
        <v>12</v>
      </c>
      <c r="B32" s="25">
        <f t="shared" ca="1" si="0"/>
        <v>45966</v>
      </c>
      <c r="C32" s="26">
        <f t="shared" ca="1" si="1"/>
        <v>31</v>
      </c>
      <c r="D32" s="20">
        <f t="shared" ca="1" si="9"/>
        <v>33677.855022831049</v>
      </c>
      <c r="E32" s="22">
        <f t="shared" si="2"/>
        <v>29166.666666666668</v>
      </c>
      <c r="F32" s="22">
        <f t="shared" ca="1" si="3"/>
        <v>2761.1883561643849</v>
      </c>
      <c r="G32" s="22">
        <f t="shared" si="10"/>
        <v>1750</v>
      </c>
      <c r="H32" s="22"/>
      <c r="I32" s="23"/>
      <c r="J32" s="23"/>
      <c r="K32" s="23"/>
      <c r="L32" s="23"/>
      <c r="M32" s="23"/>
      <c r="N32" s="23"/>
      <c r="O32" s="22"/>
      <c r="P32" s="23"/>
      <c r="Q32" s="24" t="str">
        <f t="shared" si="4"/>
        <v>х</v>
      </c>
      <c r="R32" s="24" t="str">
        <f t="shared" si="5"/>
        <v>х</v>
      </c>
      <c r="S32" s="40">
        <f t="shared" si="6"/>
        <v>379166.6666666668</v>
      </c>
      <c r="T32" s="13">
        <f t="shared" ca="1" si="7"/>
        <v>365</v>
      </c>
    </row>
    <row r="33" spans="1:20" x14ac:dyDescent="0.25">
      <c r="A33" s="24">
        <f t="shared" si="8"/>
        <v>13</v>
      </c>
      <c r="B33" s="25">
        <f t="shared" ca="1" si="0"/>
        <v>45996</v>
      </c>
      <c r="C33" s="26">
        <f t="shared" ca="1" si="1"/>
        <v>30</v>
      </c>
      <c r="D33" s="20">
        <f t="shared" ca="1" si="9"/>
        <v>93386.132420091322</v>
      </c>
      <c r="E33" s="22">
        <f t="shared" si="2"/>
        <v>29166.666666666668</v>
      </c>
      <c r="F33" s="22">
        <f t="shared" ca="1" si="3"/>
        <v>2469.4657534246585</v>
      </c>
      <c r="G33" s="22">
        <f t="shared" si="10"/>
        <v>1750</v>
      </c>
      <c r="H33" s="22"/>
      <c r="I33" s="23"/>
      <c r="J33" s="23"/>
      <c r="K33" s="23"/>
      <c r="L33" s="23"/>
      <c r="M33" s="23"/>
      <c r="N33" s="23"/>
      <c r="O33" s="22">
        <f>IF(S33=" "," ",O20)</f>
        <v>60000</v>
      </c>
      <c r="P33" s="23"/>
      <c r="Q33" s="24" t="str">
        <f t="shared" si="4"/>
        <v>х</v>
      </c>
      <c r="R33" s="24" t="str">
        <f t="shared" si="5"/>
        <v>х</v>
      </c>
      <c r="S33" s="40">
        <f t="shared" si="6"/>
        <v>350000.00000000012</v>
      </c>
      <c r="T33" s="13">
        <f t="shared" ca="1" si="7"/>
        <v>365</v>
      </c>
    </row>
    <row r="34" spans="1:20" x14ac:dyDescent="0.25">
      <c r="A34" s="24">
        <f t="shared" si="8"/>
        <v>14</v>
      </c>
      <c r="B34" s="25">
        <f t="shared" ca="1" si="0"/>
        <v>46027</v>
      </c>
      <c r="C34" s="26">
        <f t="shared" ca="1" si="1"/>
        <v>31</v>
      </c>
      <c r="D34" s="20">
        <f t="shared" ca="1" si="9"/>
        <v>33257.231735159818</v>
      </c>
      <c r="E34" s="22">
        <f t="shared" si="2"/>
        <v>29166.666666666668</v>
      </c>
      <c r="F34" s="22">
        <f t="shared" ca="1" si="3"/>
        <v>2340.5650684931516</v>
      </c>
      <c r="G34" s="22">
        <f t="shared" si="10"/>
        <v>1750</v>
      </c>
      <c r="H34" s="22"/>
      <c r="I34" s="23"/>
      <c r="J34" s="23"/>
      <c r="K34" s="23"/>
      <c r="L34" s="23"/>
      <c r="M34" s="23"/>
      <c r="N34" s="23"/>
      <c r="O34" s="22"/>
      <c r="P34" s="23"/>
      <c r="Q34" s="24" t="str">
        <f t="shared" si="4"/>
        <v>х</v>
      </c>
      <c r="R34" s="24" t="str">
        <f t="shared" si="5"/>
        <v>х</v>
      </c>
      <c r="S34" s="40">
        <f t="shared" si="6"/>
        <v>320833.33333333343</v>
      </c>
      <c r="T34" s="13">
        <f t="shared" ca="1" si="7"/>
        <v>365</v>
      </c>
    </row>
    <row r="35" spans="1:20" x14ac:dyDescent="0.25">
      <c r="A35" s="24">
        <f t="shared" si="8"/>
        <v>15</v>
      </c>
      <c r="B35" s="25">
        <f t="shared" ca="1" si="0"/>
        <v>46058</v>
      </c>
      <c r="C35" s="26">
        <f t="shared" ca="1" si="1"/>
        <v>31</v>
      </c>
      <c r="D35" s="20">
        <f t="shared" ca="1" si="9"/>
        <v>33046.920091324202</v>
      </c>
      <c r="E35" s="22">
        <f t="shared" si="2"/>
        <v>29166.666666666668</v>
      </c>
      <c r="F35" s="22">
        <f t="shared" ca="1" si="3"/>
        <v>2130.2534246575351</v>
      </c>
      <c r="G35" s="22">
        <f t="shared" si="10"/>
        <v>1750</v>
      </c>
      <c r="H35" s="22"/>
      <c r="I35" s="23"/>
      <c r="J35" s="23"/>
      <c r="K35" s="23"/>
      <c r="L35" s="23"/>
      <c r="M35" s="23"/>
      <c r="N35" s="23"/>
      <c r="O35" s="22"/>
      <c r="P35" s="23"/>
      <c r="Q35" s="24" t="str">
        <f t="shared" si="4"/>
        <v>х</v>
      </c>
      <c r="R35" s="24" t="str">
        <f t="shared" si="5"/>
        <v>х</v>
      </c>
      <c r="S35" s="40">
        <f t="shared" si="6"/>
        <v>291666.66666666674</v>
      </c>
      <c r="T35" s="13">
        <f t="shared" ca="1" si="7"/>
        <v>365</v>
      </c>
    </row>
    <row r="36" spans="1:20" ht="15.75" customHeight="1" x14ac:dyDescent="0.25">
      <c r="A36" s="24">
        <f t="shared" si="8"/>
        <v>16</v>
      </c>
      <c r="B36" s="25">
        <f t="shared" ca="1" si="0"/>
        <v>46086</v>
      </c>
      <c r="C36" s="26">
        <f t="shared" ca="1" si="1"/>
        <v>28</v>
      </c>
      <c r="D36" s="20">
        <f t="shared" ca="1" si="9"/>
        <v>32653.433789954339</v>
      </c>
      <c r="E36" s="22">
        <f t="shared" si="2"/>
        <v>29166.666666666668</v>
      </c>
      <c r="F36" s="22">
        <f t="shared" ca="1" si="3"/>
        <v>1736.7671232876719</v>
      </c>
      <c r="G36" s="22">
        <f t="shared" si="10"/>
        <v>1750</v>
      </c>
      <c r="H36" s="22"/>
      <c r="I36" s="23"/>
      <c r="J36" s="23"/>
      <c r="K36" s="23"/>
      <c r="L36" s="23"/>
      <c r="M36" s="23"/>
      <c r="N36" s="23"/>
      <c r="O36" s="22"/>
      <c r="P36" s="23"/>
      <c r="Q36" s="24" t="str">
        <f t="shared" si="4"/>
        <v>х</v>
      </c>
      <c r="R36" s="24" t="str">
        <f t="shared" si="5"/>
        <v>х</v>
      </c>
      <c r="S36" s="40">
        <f t="shared" si="6"/>
        <v>262500.00000000006</v>
      </c>
      <c r="T36" s="13">
        <f t="shared" ca="1" si="7"/>
        <v>365</v>
      </c>
    </row>
    <row r="37" spans="1:20" x14ac:dyDescent="0.25">
      <c r="A37" s="24">
        <f t="shared" si="8"/>
        <v>17</v>
      </c>
      <c r="B37" s="25">
        <f t="shared" ca="1" si="0"/>
        <v>46117</v>
      </c>
      <c r="C37" s="26">
        <f t="shared" ca="1" si="1"/>
        <v>31</v>
      </c>
      <c r="D37" s="20">
        <f t="shared" ca="1" si="9"/>
        <v>32626.296803652971</v>
      </c>
      <c r="E37" s="22">
        <f t="shared" si="2"/>
        <v>29166.666666666668</v>
      </c>
      <c r="F37" s="22">
        <f t="shared" ca="1" si="3"/>
        <v>1709.630136986302</v>
      </c>
      <c r="G37" s="22">
        <f t="shared" si="10"/>
        <v>1750</v>
      </c>
      <c r="H37" s="22"/>
      <c r="I37" s="23"/>
      <c r="J37" s="23"/>
      <c r="K37" s="23"/>
      <c r="L37" s="23"/>
      <c r="M37" s="23"/>
      <c r="N37" s="23"/>
      <c r="O37" s="22"/>
      <c r="P37" s="23"/>
      <c r="Q37" s="24" t="str">
        <f t="shared" si="4"/>
        <v>х</v>
      </c>
      <c r="R37" s="24" t="str">
        <f t="shared" si="5"/>
        <v>х</v>
      </c>
      <c r="S37" s="40">
        <f t="shared" si="6"/>
        <v>233333.3333333334</v>
      </c>
      <c r="T37" s="13">
        <f t="shared" ca="1" si="7"/>
        <v>365</v>
      </c>
    </row>
    <row r="38" spans="1:20" x14ac:dyDescent="0.25">
      <c r="A38" s="24">
        <f t="shared" si="8"/>
        <v>18</v>
      </c>
      <c r="B38" s="25">
        <f t="shared" ca="1" si="0"/>
        <v>46147</v>
      </c>
      <c r="C38" s="26">
        <f t="shared" ca="1" si="1"/>
        <v>30</v>
      </c>
      <c r="D38" s="20">
        <f t="shared" ca="1" si="9"/>
        <v>32368.495433789954</v>
      </c>
      <c r="E38" s="22">
        <f t="shared" si="2"/>
        <v>29166.666666666668</v>
      </c>
      <c r="F38" s="22">
        <f t="shared" ca="1" si="3"/>
        <v>1451.8287671232883</v>
      </c>
      <c r="G38" s="22">
        <f t="shared" si="10"/>
        <v>1750</v>
      </c>
      <c r="H38" s="22"/>
      <c r="I38" s="23"/>
      <c r="J38" s="23"/>
      <c r="K38" s="23"/>
      <c r="L38" s="23"/>
      <c r="M38" s="23"/>
      <c r="N38" s="23"/>
      <c r="O38" s="22"/>
      <c r="P38" s="23"/>
      <c r="Q38" s="24" t="str">
        <f t="shared" si="4"/>
        <v>х</v>
      </c>
      <c r="R38" s="24" t="str">
        <f t="shared" si="5"/>
        <v>х</v>
      </c>
      <c r="S38" s="40">
        <f t="shared" si="6"/>
        <v>204166.66666666674</v>
      </c>
      <c r="T38" s="13">
        <f t="shared" ca="1" si="7"/>
        <v>365</v>
      </c>
    </row>
    <row r="39" spans="1:20" x14ac:dyDescent="0.25">
      <c r="A39" s="24">
        <f t="shared" si="8"/>
        <v>19</v>
      </c>
      <c r="B39" s="25">
        <f t="shared" ca="1" si="0"/>
        <v>46178</v>
      </c>
      <c r="C39" s="26">
        <f t="shared" ca="1" si="1"/>
        <v>31</v>
      </c>
      <c r="D39" s="20">
        <f t="shared" ca="1" si="9"/>
        <v>32205.673515981736</v>
      </c>
      <c r="E39" s="22">
        <f t="shared" si="2"/>
        <v>29166.666666666668</v>
      </c>
      <c r="F39" s="22">
        <f t="shared" ca="1" si="3"/>
        <v>1289.0068493150693</v>
      </c>
      <c r="G39" s="22">
        <f t="shared" si="10"/>
        <v>1750</v>
      </c>
      <c r="H39" s="22"/>
      <c r="I39" s="23"/>
      <c r="J39" s="23"/>
      <c r="K39" s="23"/>
      <c r="L39" s="23"/>
      <c r="M39" s="23"/>
      <c r="N39" s="23"/>
      <c r="O39" s="22"/>
      <c r="P39" s="23"/>
      <c r="Q39" s="24" t="str">
        <f t="shared" si="4"/>
        <v>х</v>
      </c>
      <c r="R39" s="24" t="str">
        <f t="shared" si="5"/>
        <v>х</v>
      </c>
      <c r="S39" s="40">
        <f t="shared" si="6"/>
        <v>175000.00000000009</v>
      </c>
      <c r="T39" s="13">
        <f t="shared" ca="1" si="7"/>
        <v>365</v>
      </c>
    </row>
    <row r="40" spans="1:20" x14ac:dyDescent="0.25">
      <c r="A40" s="24">
        <f t="shared" si="8"/>
        <v>20</v>
      </c>
      <c r="B40" s="25">
        <f t="shared" ca="1" si="0"/>
        <v>46208</v>
      </c>
      <c r="C40" s="26">
        <f t="shared" ca="1" si="1"/>
        <v>30</v>
      </c>
      <c r="D40" s="20">
        <f t="shared" ca="1" si="9"/>
        <v>31961.440639269407</v>
      </c>
      <c r="E40" s="22">
        <f t="shared" si="2"/>
        <v>29166.666666666668</v>
      </c>
      <c r="F40" s="22">
        <f t="shared" ca="1" si="3"/>
        <v>1044.7739726027403</v>
      </c>
      <c r="G40" s="22">
        <f t="shared" si="10"/>
        <v>1750</v>
      </c>
      <c r="H40" s="22"/>
      <c r="I40" s="23"/>
      <c r="J40" s="23"/>
      <c r="K40" s="23"/>
      <c r="L40" s="23"/>
      <c r="M40" s="23"/>
      <c r="N40" s="23"/>
      <c r="O40" s="22"/>
      <c r="P40" s="23"/>
      <c r="Q40" s="24" t="str">
        <f t="shared" si="4"/>
        <v>х</v>
      </c>
      <c r="R40" s="24" t="str">
        <f t="shared" si="5"/>
        <v>х</v>
      </c>
      <c r="S40" s="40">
        <f t="shared" si="6"/>
        <v>145833.33333333343</v>
      </c>
      <c r="T40" s="13">
        <f t="shared" ca="1" si="7"/>
        <v>365</v>
      </c>
    </row>
    <row r="41" spans="1:20" x14ac:dyDescent="0.25">
      <c r="A41" s="24">
        <f t="shared" si="8"/>
        <v>21</v>
      </c>
      <c r="B41" s="25">
        <f t="shared" ca="1" si="0"/>
        <v>46239</v>
      </c>
      <c r="C41" s="26">
        <f t="shared" ca="1" si="1"/>
        <v>31</v>
      </c>
      <c r="D41" s="20">
        <f t="shared" ca="1" si="9"/>
        <v>31785.050228310505</v>
      </c>
      <c r="E41" s="22">
        <f t="shared" si="2"/>
        <v>29166.666666666668</v>
      </c>
      <c r="F41" s="22">
        <f t="shared" ca="1" si="3"/>
        <v>868.3835616438364</v>
      </c>
      <c r="G41" s="22">
        <f t="shared" si="10"/>
        <v>1750</v>
      </c>
      <c r="H41" s="22"/>
      <c r="I41" s="23"/>
      <c r="J41" s="23"/>
      <c r="K41" s="23"/>
      <c r="L41" s="23"/>
      <c r="M41" s="23"/>
      <c r="N41" s="23"/>
      <c r="O41" s="22"/>
      <c r="P41" s="23"/>
      <c r="Q41" s="24" t="str">
        <f t="shared" si="4"/>
        <v>х</v>
      </c>
      <c r="R41" s="24" t="str">
        <f t="shared" si="5"/>
        <v>х</v>
      </c>
      <c r="S41" s="40">
        <f t="shared" si="6"/>
        <v>116666.66666666676</v>
      </c>
      <c r="T41" s="13">
        <f t="shared" ca="1" si="7"/>
        <v>365</v>
      </c>
    </row>
    <row r="42" spans="1:20" x14ac:dyDescent="0.25">
      <c r="A42" s="24">
        <f t="shared" si="8"/>
        <v>22</v>
      </c>
      <c r="B42" s="25">
        <f t="shared" ca="1" si="0"/>
        <v>46270</v>
      </c>
      <c r="C42" s="26">
        <f t="shared" ca="1" si="1"/>
        <v>31</v>
      </c>
      <c r="D42" s="20">
        <f t="shared" ca="1" si="9"/>
        <v>31574.738584474886</v>
      </c>
      <c r="E42" s="22">
        <f t="shared" si="2"/>
        <v>29166.666666666668</v>
      </c>
      <c r="F42" s="22">
        <f t="shared" ca="1" si="3"/>
        <v>658.07191780821984</v>
      </c>
      <c r="G42" s="22">
        <f t="shared" si="10"/>
        <v>1750</v>
      </c>
      <c r="H42" s="22"/>
      <c r="I42" s="23"/>
      <c r="J42" s="23"/>
      <c r="K42" s="23"/>
      <c r="L42" s="23"/>
      <c r="M42" s="23"/>
      <c r="N42" s="23"/>
      <c r="O42" s="22"/>
      <c r="P42" s="23"/>
      <c r="Q42" s="24" t="str">
        <f t="shared" si="4"/>
        <v>х</v>
      </c>
      <c r="R42" s="24" t="str">
        <f t="shared" si="5"/>
        <v>х</v>
      </c>
      <c r="S42" s="40">
        <f t="shared" si="6"/>
        <v>87500.000000000087</v>
      </c>
      <c r="T42" s="13">
        <f t="shared" ca="1" si="7"/>
        <v>365</v>
      </c>
    </row>
    <row r="43" spans="1:20" x14ac:dyDescent="0.25">
      <c r="A43" s="24">
        <f t="shared" si="8"/>
        <v>23</v>
      </c>
      <c r="B43" s="25">
        <f t="shared" ca="1" si="0"/>
        <v>46300</v>
      </c>
      <c r="C43" s="26">
        <f t="shared" ca="1" si="1"/>
        <v>30</v>
      </c>
      <c r="D43" s="20">
        <f t="shared" ca="1" si="9"/>
        <v>31350.858447488587</v>
      </c>
      <c r="E43" s="22">
        <f t="shared" si="2"/>
        <v>29166.666666666668</v>
      </c>
      <c r="F43" s="22">
        <f t="shared" ca="1" si="3"/>
        <v>434.19178082191843</v>
      </c>
      <c r="G43" s="22">
        <f t="shared" si="10"/>
        <v>1750</v>
      </c>
      <c r="H43" s="22"/>
      <c r="I43" s="23"/>
      <c r="J43" s="23"/>
      <c r="K43" s="23"/>
      <c r="L43" s="23"/>
      <c r="M43" s="23"/>
      <c r="N43" s="23"/>
      <c r="O43" s="22"/>
      <c r="P43" s="23"/>
      <c r="Q43" s="24" t="str">
        <f t="shared" si="4"/>
        <v>х</v>
      </c>
      <c r="R43" s="24" t="str">
        <f t="shared" si="5"/>
        <v>х</v>
      </c>
      <c r="S43" s="40">
        <f t="shared" si="6"/>
        <v>58333.333333333416</v>
      </c>
      <c r="T43" s="13">
        <f t="shared" ca="1" si="7"/>
        <v>365</v>
      </c>
    </row>
    <row r="44" spans="1:20" x14ac:dyDescent="0.25">
      <c r="A44" s="24">
        <f t="shared" si="8"/>
        <v>24</v>
      </c>
      <c r="B44" s="25">
        <f t="shared" ca="1" si="0"/>
        <v>46339</v>
      </c>
      <c r="C44" s="26">
        <f ca="1">IFERROR(B44-B43," ")</f>
        <v>39</v>
      </c>
      <c r="D44" s="20">
        <f t="shared" ca="1" si="9"/>
        <v>31702.192922374434</v>
      </c>
      <c r="E44" s="22">
        <f t="shared" si="2"/>
        <v>29166.666666666668</v>
      </c>
      <c r="F44" s="22">
        <f t="shared" ca="1" si="3"/>
        <v>318.85958904109668</v>
      </c>
      <c r="G44" s="22">
        <f t="shared" ca="1" si="10"/>
        <v>2216.6666666666665</v>
      </c>
      <c r="H44" s="22"/>
      <c r="I44" s="23"/>
      <c r="J44" s="23"/>
      <c r="K44" s="23"/>
      <c r="L44" s="23"/>
      <c r="M44" s="23"/>
      <c r="N44" s="23"/>
      <c r="O44" s="23"/>
      <c r="P44" s="23"/>
      <c r="Q44" s="24" t="str">
        <f t="shared" si="4"/>
        <v>х</v>
      </c>
      <c r="R44" s="24" t="str">
        <f t="shared" si="5"/>
        <v>х</v>
      </c>
      <c r="S44" s="40">
        <f t="shared" si="6"/>
        <v>29166.666666666748</v>
      </c>
      <c r="T44" s="13">
        <f t="shared" ca="1" si="7"/>
        <v>365</v>
      </c>
    </row>
    <row r="45" spans="1:20" x14ac:dyDescent="0.25">
      <c r="A45" s="27" t="s">
        <v>36</v>
      </c>
      <c r="B45" s="28" t="s">
        <v>37</v>
      </c>
      <c r="C45" s="29"/>
      <c r="D45" s="31">
        <f ca="1">SUM(D21:D44)</f>
        <v>862534.88684594678</v>
      </c>
      <c r="E45" s="30">
        <f>SUM(E21:E44)</f>
        <v>699999.99999999988</v>
      </c>
      <c r="F45" s="30">
        <f t="shared" ref="F45" ca="1" si="11">SUM(F21:F44)</f>
        <v>60534.886845946574</v>
      </c>
      <c r="G45" s="30">
        <f ca="1">SUM(G20:G44)</f>
        <v>41999.999999999993</v>
      </c>
      <c r="H45" s="30">
        <f>SUM(H20:H44)</f>
        <v>0</v>
      </c>
      <c r="I45" s="30">
        <f t="shared" ref="I45:P45" si="12">SUM(I20:I44)</f>
        <v>17430</v>
      </c>
      <c r="J45" s="30">
        <f t="shared" si="12"/>
        <v>0</v>
      </c>
      <c r="K45" s="30">
        <f t="shared" si="12"/>
        <v>0</v>
      </c>
      <c r="L45" s="30">
        <f t="shared" si="12"/>
        <v>0</v>
      </c>
      <c r="M45" s="30">
        <f t="shared" si="12"/>
        <v>0</v>
      </c>
      <c r="N45" s="30">
        <f t="shared" si="12"/>
        <v>0</v>
      </c>
      <c r="O45" s="30">
        <f t="shared" si="12"/>
        <v>120000</v>
      </c>
      <c r="P45" s="30">
        <f t="shared" si="12"/>
        <v>0</v>
      </c>
      <c r="Q45" s="32">
        <f ca="1">IF(D10=12,XIRR(D20:D32,B20:B32),XIRR(D20:D44,B20:B44))</f>
        <v>0.40969712138175973</v>
      </c>
      <c r="R45" s="30">
        <f ca="1">SUM(E45:P45)</f>
        <v>939964.88684594643</v>
      </c>
      <c r="S45" s="41"/>
      <c r="T45" s="13"/>
    </row>
    <row r="46" spans="1:20" x14ac:dyDescent="0.25">
      <c r="A46" s="11"/>
      <c r="B46" s="12"/>
      <c r="D46" s="1"/>
      <c r="E46" s="1"/>
      <c r="F46" s="1"/>
      <c r="G46" s="1"/>
      <c r="S46" s="42"/>
      <c r="T46" s="13"/>
    </row>
    <row r="47" spans="1:20" x14ac:dyDescent="0.25">
      <c r="A47" s="11"/>
      <c r="B47" s="12"/>
      <c r="D47" s="1"/>
      <c r="E47" s="1"/>
      <c r="F47" s="1"/>
      <c r="G47" s="1"/>
      <c r="S47" s="42"/>
      <c r="T47" s="13"/>
    </row>
    <row r="48" spans="1:20" ht="16.5" customHeight="1" x14ac:dyDescent="0.25">
      <c r="A48" s="51" t="s">
        <v>40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42"/>
      <c r="T48" s="13"/>
    </row>
    <row r="49" spans="1:20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42"/>
      <c r="T49" s="13"/>
    </row>
    <row r="50" spans="1:20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42"/>
      <c r="T50" s="13"/>
    </row>
    <row r="51" spans="1:20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42"/>
      <c r="T51" s="13"/>
    </row>
    <row r="52" spans="1:20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42"/>
      <c r="T52" s="13"/>
    </row>
    <row r="53" spans="1:20" x14ac:dyDescent="0.25">
      <c r="A53" s="11"/>
      <c r="B53" s="12"/>
      <c r="D53" s="1"/>
      <c r="E53" s="1"/>
      <c r="F53" s="1"/>
      <c r="G53" s="1"/>
      <c r="S53" s="42"/>
      <c r="T53" s="13"/>
    </row>
    <row r="54" spans="1:20" x14ac:dyDescent="0.25">
      <c r="A54" s="11"/>
      <c r="B54" s="12"/>
      <c r="D54" s="1"/>
      <c r="E54" s="1"/>
      <c r="F54" s="1"/>
      <c r="G54" s="1"/>
      <c r="S54" s="42"/>
      <c r="T54" s="13"/>
    </row>
    <row r="55" spans="1:20" x14ac:dyDescent="0.25">
      <c r="A55" s="11"/>
      <c r="B55" s="12"/>
      <c r="D55" s="1"/>
      <c r="E55" s="1"/>
      <c r="F55" s="1"/>
      <c r="G55" s="1"/>
      <c r="S55" s="42"/>
      <c r="T55" s="13"/>
    </row>
    <row r="56" spans="1:20" x14ac:dyDescent="0.25">
      <c r="A56" s="11"/>
      <c r="B56" s="12"/>
      <c r="D56" s="1"/>
      <c r="E56" s="1"/>
      <c r="F56" s="1"/>
      <c r="G56" s="1"/>
      <c r="S56" s="42"/>
      <c r="T56" s="13"/>
    </row>
    <row r="57" spans="1:20" x14ac:dyDescent="0.25">
      <c r="A57" s="11"/>
      <c r="B57" s="12"/>
      <c r="D57" s="1"/>
      <c r="E57" s="1"/>
      <c r="F57" s="1"/>
      <c r="G57" s="1"/>
      <c r="S57" s="42"/>
      <c r="T57" s="13"/>
    </row>
    <row r="58" spans="1:20" x14ac:dyDescent="0.25">
      <c r="A58" s="11"/>
      <c r="B58" s="12"/>
      <c r="D58" s="1"/>
      <c r="E58" s="1"/>
      <c r="F58" s="1"/>
      <c r="G58" s="1"/>
      <c r="S58" s="42"/>
      <c r="T58" s="13"/>
    </row>
    <row r="59" spans="1:20" x14ac:dyDescent="0.25">
      <c r="A59" s="11"/>
      <c r="B59" s="12"/>
      <c r="D59" s="1"/>
      <c r="E59" s="1"/>
      <c r="F59" s="1"/>
      <c r="G59" s="1"/>
      <c r="S59" s="42"/>
      <c r="T59" s="13"/>
    </row>
    <row r="60" spans="1:20" x14ac:dyDescent="0.25">
      <c r="A60" s="11"/>
      <c r="B60" s="12"/>
      <c r="D60" s="1"/>
      <c r="E60" s="1"/>
      <c r="F60" s="1"/>
      <c r="G60" s="1"/>
      <c r="S60" s="42"/>
      <c r="T60" s="13"/>
    </row>
    <row r="61" spans="1:20" x14ac:dyDescent="0.25">
      <c r="A61" s="11"/>
      <c r="B61" s="12"/>
      <c r="D61" s="1"/>
      <c r="E61" s="1"/>
      <c r="F61" s="1"/>
      <c r="G61" s="1"/>
      <c r="S61" s="42"/>
      <c r="T61" s="13"/>
    </row>
    <row r="62" spans="1:20" x14ac:dyDescent="0.25">
      <c r="A62" s="11"/>
      <c r="B62" s="12"/>
      <c r="D62" s="1"/>
      <c r="E62" s="1"/>
      <c r="F62" s="1"/>
      <c r="G62" s="1"/>
      <c r="S62" s="42"/>
      <c r="T62" s="13"/>
    </row>
    <row r="63" spans="1:20" x14ac:dyDescent="0.25">
      <c r="A63" s="11"/>
      <c r="B63" s="12"/>
      <c r="D63" s="1"/>
      <c r="E63" s="1"/>
      <c r="F63" s="1"/>
      <c r="G63" s="1"/>
    </row>
    <row r="64" spans="1:20" x14ac:dyDescent="0.25">
      <c r="A64" s="11"/>
      <c r="B64" s="12"/>
      <c r="D64" s="1"/>
      <c r="E64" s="1"/>
      <c r="F64" s="1"/>
      <c r="G64" s="1"/>
    </row>
    <row r="65" spans="1:7" x14ac:dyDescent="0.25">
      <c r="A65" s="11"/>
      <c r="B65" s="12"/>
      <c r="D65" s="1"/>
      <c r="E65" s="1"/>
      <c r="F65" s="1"/>
      <c r="G65" s="1"/>
    </row>
    <row r="66" spans="1:7" x14ac:dyDescent="0.25">
      <c r="A66" s="11"/>
      <c r="B66" s="12"/>
      <c r="D66" s="1"/>
      <c r="E66" s="1"/>
      <c r="F66" s="1"/>
      <c r="G66" s="1"/>
    </row>
    <row r="67" spans="1:7" x14ac:dyDescent="0.25">
      <c r="A67" s="11"/>
      <c r="B67" s="12"/>
      <c r="D67" s="1"/>
      <c r="E67" s="1"/>
      <c r="F67" s="1"/>
      <c r="G67" s="1"/>
    </row>
    <row r="68" spans="1:7" x14ac:dyDescent="0.25">
      <c r="A68" s="11"/>
      <c r="B68" s="12"/>
      <c r="D68" s="1"/>
      <c r="E68" s="1"/>
      <c r="F68" s="1"/>
      <c r="G68" s="1"/>
    </row>
    <row r="69" spans="1:7" x14ac:dyDescent="0.25">
      <c r="A69" s="11"/>
      <c r="B69" s="12"/>
      <c r="D69" s="1"/>
      <c r="E69" s="1"/>
      <c r="F69" s="1"/>
      <c r="G69" s="1"/>
    </row>
    <row r="70" spans="1:7" x14ac:dyDescent="0.25">
      <c r="A70" s="11"/>
      <c r="B70" s="12"/>
      <c r="D70" s="1"/>
      <c r="E70" s="1"/>
      <c r="F70" s="1"/>
      <c r="G70" s="1"/>
    </row>
    <row r="71" spans="1:7" x14ac:dyDescent="0.25">
      <c r="A71" s="11"/>
      <c r="B71" s="12"/>
      <c r="D71" s="1"/>
      <c r="E71" s="1"/>
      <c r="F71" s="1"/>
      <c r="G71" s="1"/>
    </row>
    <row r="72" spans="1:7" x14ac:dyDescent="0.25">
      <c r="A72" s="11"/>
      <c r="B72" s="12"/>
      <c r="D72" s="1"/>
      <c r="E72" s="1"/>
      <c r="F72" s="1"/>
      <c r="G72" s="1"/>
    </row>
    <row r="73" spans="1:7" x14ac:dyDescent="0.25">
      <c r="A73" s="11"/>
      <c r="B73" s="12"/>
      <c r="D73" s="1"/>
      <c r="E73" s="1"/>
      <c r="F73" s="1"/>
      <c r="G73" s="1"/>
    </row>
    <row r="74" spans="1:7" x14ac:dyDescent="0.25">
      <c r="A74" s="11"/>
      <c r="B74" s="12"/>
      <c r="D74" s="1"/>
      <c r="E74" s="1"/>
      <c r="F74" s="1"/>
      <c r="G74" s="1"/>
    </row>
    <row r="75" spans="1:7" x14ac:dyDescent="0.25">
      <c r="A75" s="11"/>
      <c r="B75" s="12"/>
      <c r="D75" s="1"/>
      <c r="E75" s="1"/>
      <c r="F75" s="1"/>
      <c r="G75" s="1"/>
    </row>
    <row r="76" spans="1:7" x14ac:dyDescent="0.25">
      <c r="A76" s="11"/>
      <c r="B76" s="12"/>
      <c r="D76" s="1"/>
      <c r="E76" s="1"/>
      <c r="F76" s="1"/>
      <c r="G76" s="1"/>
    </row>
    <row r="77" spans="1:7" x14ac:dyDescent="0.25">
      <c r="A77" s="11"/>
      <c r="B77" s="12"/>
      <c r="D77" s="1"/>
      <c r="E77" s="1"/>
      <c r="F77" s="1"/>
      <c r="G77" s="1"/>
    </row>
    <row r="78" spans="1:7" x14ac:dyDescent="0.25">
      <c r="A78" s="11"/>
      <c r="B78" s="12"/>
      <c r="D78" s="1"/>
      <c r="E78" s="1"/>
      <c r="F78" s="1"/>
      <c r="G78" s="1"/>
    </row>
    <row r="79" spans="1:7" x14ac:dyDescent="0.25">
      <c r="A79" s="11"/>
      <c r="B79" s="12"/>
      <c r="D79" s="1"/>
      <c r="E79" s="1"/>
      <c r="F79" s="1"/>
      <c r="G79" s="1"/>
    </row>
    <row r="80" spans="1:7" x14ac:dyDescent="0.25">
      <c r="A80" s="11"/>
      <c r="B80" s="12"/>
      <c r="D80" s="1"/>
      <c r="E80" s="1"/>
      <c r="F80" s="1"/>
      <c r="G80" s="1"/>
    </row>
    <row r="81" spans="1:23" x14ac:dyDescent="0.25">
      <c r="A81" s="11"/>
      <c r="B81" s="11"/>
      <c r="G81" s="1"/>
    </row>
    <row r="82" spans="1:23" x14ac:dyDescent="0.25">
      <c r="A82" s="11"/>
      <c r="B82" s="11"/>
    </row>
    <row r="83" spans="1:23" x14ac:dyDescent="0.25">
      <c r="A83" s="11"/>
      <c r="B83" s="11"/>
    </row>
    <row r="84" spans="1:23" x14ac:dyDescent="0.25">
      <c r="A84" s="11"/>
      <c r="B84" s="11"/>
    </row>
    <row r="85" spans="1:23" x14ac:dyDescent="0.25">
      <c r="A85" s="11"/>
      <c r="B85" s="11"/>
    </row>
    <row r="86" spans="1:23" s="1" customFormat="1" x14ac:dyDescent="0.25">
      <c r="A86" s="11"/>
      <c r="B86" s="1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s="1" customFormat="1" x14ac:dyDescent="0.25">
      <c r="A87" s="11"/>
      <c r="B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s="1" customFormat="1" x14ac:dyDescent="0.25">
      <c r="A88" s="11"/>
      <c r="B88" s="1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s="1" customFormat="1" x14ac:dyDescent="0.25">
      <c r="A89" s="11"/>
      <c r="B89" s="1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s="1" customFormat="1" x14ac:dyDescent="0.25">
      <c r="A90" s="11"/>
      <c r="B90" s="1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s="1" customFormat="1" x14ac:dyDescent="0.25">
      <c r="A91" s="11"/>
      <c r="B91" s="1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s="1" customFormat="1" x14ac:dyDescent="0.25">
      <c r="A92" s="11"/>
      <c r="B92" s="1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</sheetData>
  <sheetProtection algorithmName="SHA-512" hashValue="DWXEU13Ehj7GHTvxTT6xhr/Skz2P/gNCgwTMVKX168csXpY2KdZNDXZpBVWcZSMTKNLqF8d+xbUWwp9wkQS2lw==" saltValue="Jkq/2DhWLucaOl/VG/4/hg==" spinCount="100000" sheet="1" objects="1" scenarios="1"/>
  <protectedRanges>
    <protectedRange sqref="D2:D3 D10 D9" name="Диапазон1"/>
  </protectedRanges>
  <mergeCells count="26">
    <mergeCell ref="A48:R52"/>
    <mergeCell ref="A12:C12"/>
    <mergeCell ref="A7:C7"/>
    <mergeCell ref="A8:C8"/>
    <mergeCell ref="A10:C10"/>
    <mergeCell ref="A15:A18"/>
    <mergeCell ref="B15:B18"/>
    <mergeCell ref="C15:C18"/>
    <mergeCell ref="D15:D18"/>
    <mergeCell ref="E15:P15"/>
    <mergeCell ref="Q15:Q18"/>
    <mergeCell ref="R15:R18"/>
    <mergeCell ref="E16:E18"/>
    <mergeCell ref="F16:F18"/>
    <mergeCell ref="G16:P16"/>
    <mergeCell ref="G17:J17"/>
    <mergeCell ref="K17:L17"/>
    <mergeCell ref="M17:P17"/>
    <mergeCell ref="A9:C9"/>
    <mergeCell ref="A1:C1"/>
    <mergeCell ref="A2:C2"/>
    <mergeCell ref="A3:C3"/>
    <mergeCell ref="A4:C4"/>
    <mergeCell ref="A6:C6"/>
    <mergeCell ref="A5:C5"/>
    <mergeCell ref="A14:R14"/>
  </mergeCells>
  <dataValidations count="1">
    <dataValidation type="list" allowBlank="1" showInputMessage="1" showErrorMessage="1" sqref="D10">
      <formula1>$G$1:$G$2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Кредит_класична схема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Yaroshenko</dc:creator>
  <cp:lastModifiedBy>Serhii Yaroshenko</cp:lastModifiedBy>
  <dcterms:created xsi:type="dcterms:W3CDTF">2024-02-27T09:33:02Z</dcterms:created>
  <dcterms:modified xsi:type="dcterms:W3CDTF">2024-11-13T15:22:38Z</dcterms:modified>
</cp:coreProperties>
</file>